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90" windowWidth="19980" windowHeight="6540"/>
  </bookViews>
  <sheets>
    <sheet name="ŚRODKI I-XII 2016 (2)" sheetId="1" r:id="rId1"/>
  </sheets>
  <calcPr calcId="125725"/>
</workbook>
</file>

<file path=xl/calcChain.xml><?xml version="1.0" encoding="utf-8"?>
<calcChain xmlns="http://schemas.openxmlformats.org/spreadsheetml/2006/main">
  <c r="A5" i="1"/>
  <c r="G5"/>
  <c r="M5"/>
  <c r="O5"/>
  <c r="P5"/>
  <c r="AA5"/>
  <c r="A6"/>
  <c r="G6"/>
  <c r="M6"/>
  <c r="O6"/>
  <c r="P6"/>
  <c r="AA6"/>
  <c r="A7"/>
  <c r="G7"/>
  <c r="M7"/>
  <c r="O7"/>
  <c r="P7"/>
  <c r="R7"/>
  <c r="V7"/>
  <c r="Z7" s="1"/>
  <c r="AA7"/>
  <c r="A8"/>
  <c r="G8"/>
  <c r="M8" s="1"/>
  <c r="O8"/>
  <c r="V8"/>
  <c r="AA8"/>
  <c r="A9"/>
  <c r="G9"/>
  <c r="M9"/>
  <c r="O9"/>
  <c r="P9"/>
  <c r="V9"/>
  <c r="AA9"/>
  <c r="A10"/>
  <c r="G10"/>
  <c r="M10" s="1"/>
  <c r="P10" s="1"/>
  <c r="O10"/>
  <c r="R10"/>
  <c r="V10" s="1"/>
  <c r="AA10"/>
  <c r="A11"/>
  <c r="G11"/>
  <c r="M11"/>
  <c r="O11"/>
  <c r="P11"/>
  <c r="V11"/>
  <c r="AA11"/>
  <c r="A12"/>
  <c r="E12"/>
  <c r="G12"/>
  <c r="M12"/>
  <c r="O12"/>
  <c r="P12"/>
  <c r="V12"/>
  <c r="AA12"/>
  <c r="A13"/>
  <c r="G13"/>
  <c r="M13" s="1"/>
  <c r="P13" s="1"/>
  <c r="O13"/>
  <c r="V13"/>
  <c r="AA13"/>
  <c r="A14"/>
  <c r="G14"/>
  <c r="M14"/>
  <c r="O14"/>
  <c r="P14"/>
  <c r="V14"/>
  <c r="AA14"/>
  <c r="A15"/>
  <c r="G15"/>
  <c r="M15" s="1"/>
  <c r="P15" s="1"/>
  <c r="O15"/>
  <c r="R15"/>
  <c r="V15" s="1"/>
  <c r="Z15" s="1"/>
  <c r="AA15"/>
  <c r="A16"/>
  <c r="G16"/>
  <c r="M16"/>
  <c r="O16"/>
  <c r="P16"/>
  <c r="V16"/>
  <c r="AA16"/>
  <c r="A17"/>
  <c r="G17"/>
  <c r="M17" s="1"/>
  <c r="P17" s="1"/>
  <c r="O17"/>
  <c r="V17"/>
  <c r="AA17"/>
  <c r="A18"/>
  <c r="G18"/>
  <c r="M18"/>
  <c r="O18"/>
  <c r="P18"/>
  <c r="V18"/>
  <c r="AA18"/>
  <c r="A19"/>
  <c r="G19"/>
  <c r="M19" s="1"/>
  <c r="P19" s="1"/>
  <c r="O19"/>
  <c r="R19"/>
  <c r="V19" s="1"/>
  <c r="Z19" s="1"/>
  <c r="AA19"/>
  <c r="A20"/>
  <c r="D20"/>
  <c r="E20"/>
  <c r="F20"/>
  <c r="G20"/>
  <c r="H20"/>
  <c r="I20"/>
  <c r="J20"/>
  <c r="K20"/>
  <c r="L20"/>
  <c r="N20"/>
  <c r="O20"/>
  <c r="Q20"/>
  <c r="S20"/>
  <c r="T20"/>
  <c r="U20"/>
  <c r="W20"/>
  <c r="X20"/>
  <c r="Y20"/>
  <c r="AA20"/>
  <c r="H21"/>
  <c r="I21"/>
  <c r="M21" s="1"/>
  <c r="P21" s="1"/>
  <c r="O21"/>
  <c r="R21"/>
  <c r="S21"/>
  <c r="T21"/>
  <c r="U21"/>
  <c r="X21"/>
  <c r="Z21"/>
  <c r="Z22" s="1"/>
  <c r="D22"/>
  <c r="E22"/>
  <c r="F22"/>
  <c r="G22"/>
  <c r="H22"/>
  <c r="I22"/>
  <c r="J22"/>
  <c r="K22"/>
  <c r="L22"/>
  <c r="N22"/>
  <c r="O22"/>
  <c r="R23"/>
  <c r="Z10" l="1"/>
  <c r="Z20" s="1"/>
  <c r="V21"/>
  <c r="V22" s="1"/>
  <c r="P8"/>
  <c r="P20" s="1"/>
  <c r="P22" s="1"/>
  <c r="M20"/>
  <c r="M22" s="1"/>
  <c r="V20"/>
  <c r="R20"/>
</calcChain>
</file>

<file path=xl/sharedStrings.xml><?xml version="1.0" encoding="utf-8"?>
<sst xmlns="http://schemas.openxmlformats.org/spreadsheetml/2006/main" count="74" uniqueCount="60">
  <si>
    <t>różnica w naliczeniu kredytu była zgłaszana Pradeli 10.12.2010r.</t>
  </si>
  <si>
    <t>OGÓŁEM FUNDUSZ REMONTOWY</t>
  </si>
  <si>
    <t>18.</t>
  </si>
  <si>
    <t xml:space="preserve"> FUNDUSZ REMONTOWY SPÓŁDZIELNI</t>
  </si>
  <si>
    <t>17.</t>
  </si>
  <si>
    <t>RAZEM FUNDUSZE REMONTOWE NIERUCHOMOŚCI</t>
  </si>
  <si>
    <t>16.</t>
  </si>
  <si>
    <t>V</t>
  </si>
  <si>
    <t>KIEPURY 45B</t>
  </si>
  <si>
    <t>15.</t>
  </si>
  <si>
    <t>KIEPURY 45A</t>
  </si>
  <si>
    <t>14.</t>
  </si>
  <si>
    <t>KIEPURY 47A</t>
  </si>
  <si>
    <t>13.</t>
  </si>
  <si>
    <t>KIEPURY 47</t>
  </si>
  <si>
    <t>12.</t>
  </si>
  <si>
    <t>SYGIETYŃSKIEGO 17</t>
  </si>
  <si>
    <t>11.</t>
  </si>
  <si>
    <t xml:space="preserve">              </t>
  </si>
  <si>
    <t xml:space="preserve">               </t>
  </si>
  <si>
    <t>KIEPURY 65</t>
  </si>
  <si>
    <t>10.</t>
  </si>
  <si>
    <t>KIEPURY 63</t>
  </si>
  <si>
    <t>9.</t>
  </si>
  <si>
    <t>KIEPURY 61</t>
  </si>
  <si>
    <t>8.</t>
  </si>
  <si>
    <t>SYGIETYŃSKIEGO 15</t>
  </si>
  <si>
    <t>7.</t>
  </si>
  <si>
    <t>KIEPURY 59</t>
  </si>
  <si>
    <t>6.</t>
  </si>
  <si>
    <t>KIEPURY 57</t>
  </si>
  <si>
    <t>5.</t>
  </si>
  <si>
    <t>KIEPURY 55</t>
  </si>
  <si>
    <t>4.</t>
  </si>
  <si>
    <t>KIEPURY 53</t>
  </si>
  <si>
    <t>3.</t>
  </si>
  <si>
    <t>KIEPURY 51</t>
  </si>
  <si>
    <t>2.</t>
  </si>
  <si>
    <t>KIEPURY 49</t>
  </si>
  <si>
    <t>1.</t>
  </si>
  <si>
    <t>ODSETKI UCHWAŁY</t>
  </si>
  <si>
    <t>ODS.</t>
  </si>
  <si>
    <t>POŻYCZKA</t>
  </si>
  <si>
    <t>SPŁATA</t>
  </si>
  <si>
    <t xml:space="preserve"> STAN ŚRODKÓW  NA DZIEŃ 31.12.2016r.</t>
  </si>
  <si>
    <t>WYDATKI ZA OKRES I-XII 2016r.</t>
  </si>
  <si>
    <t>PLAN  NA 2016r.    PO KOREKCIE UCHWAŁA               Nr 15/10/2016</t>
  </si>
  <si>
    <t>RAZEM  ŚRODKI  DO WYKORZYSTANIA</t>
  </si>
  <si>
    <t xml:space="preserve">ZWIĘKSZENIE ŚRODKÓW FUNDUSZU REMONTOWEGO O POŻYCZKĘ Z FUNDUSZU REMONTOWEGO SPÓŁDZIELNI UCHWAŁA                NR 14/10/2016    </t>
  </si>
  <si>
    <t>WPŁATY DO FUNDUSZU REMONTOWEGO OSÓB NIE BĘDĄCYCH CZŁONKAMI SPÓŁDZIELNI UCHWAŁA NR 17/09/2013r.</t>
  </si>
  <si>
    <t>ZWIĘKSZENIE ŚRODKÓW FUNDUSZU REMONTOWEGO          SPÓLDZIELNI UCHWAŁA          NR 14/06/2015  WALNEGO ZGROMADZENIA CZŁONKÓW SPÓŁDZIELNI</t>
  </si>
  <si>
    <t>ZMNIEJSZENIE ŚRODKÓW FUNDUSZU REMONTOWEGO O ZAPŁATĘ ODSETEK OD POŻYCZKI                            Z 2015r.                    Z FUNDUSZU REMONTOWEGO SPÓŁDZIELNI</t>
  </si>
  <si>
    <t xml:space="preserve">ZMNIEJSZENIE ŚRODKÓW FUNDUSZU REMONTOWEGO   O SPŁATĘ POŻYCZKI                      Z 2015r.                      Z FUNDUSZU SPÓŁDZIELNI           BEZ ODSETEK </t>
  </si>
  <si>
    <t xml:space="preserve"> ODPISY ZA OKRES I-XII 2016r. </t>
  </si>
  <si>
    <t>ŚRODKI NA DZIEŃ 01.01.2016r.</t>
  </si>
  <si>
    <t>WYSOKOŚĆ ODPISU                  ZA M-C XII 2015</t>
  </si>
  <si>
    <t xml:space="preserve">POWIERZCHNIA UŻYTKOWA DO NALICZENIA ODPISÓW </t>
  </si>
  <si>
    <t>NIERUCHOMOŚĆ</t>
  </si>
  <si>
    <t>L.P</t>
  </si>
  <si>
    <t>ROZLICZENIE ŚRODKÓW FINANSOWYCH FUNDUSZU REMONTOWEGO - REALIZACJA  I - XII 2016 r.</t>
  </si>
</sst>
</file>

<file path=xl/styles.xml><?xml version="1.0" encoding="utf-8"?>
<styleSheet xmlns="http://schemas.openxmlformats.org/spreadsheetml/2006/main">
  <numFmts count="2">
    <numFmt numFmtId="43" formatCode="_-* #,##0.00\ _z_ł_-;\-* #,##0.00\ _z_ł_-;_-* &quot;-&quot;??\ _z_ł_-;_-@_-"/>
    <numFmt numFmtId="164" formatCode="_-* #,##0.00\ _z_ł_-;\-* #,##0.00\ _z_ł_-;_-* \-??\ _z_ł_-;_-@_-"/>
  </numFmts>
  <fonts count="14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b/>
      <sz val="8"/>
      <name val="Arial"/>
      <family val="2"/>
    </font>
    <font>
      <sz val="10"/>
      <name val="Arial CE"/>
      <family val="2"/>
      <charset val="238"/>
    </font>
    <font>
      <sz val="10"/>
      <name val="Arial CE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ill="0" applyBorder="0" applyAlignment="0" applyProtection="0"/>
    <xf numFmtId="164" fontId="2" fillId="0" borderId="0" applyFill="0" applyBorder="0" applyAlignment="0" applyProtection="0"/>
  </cellStyleXfs>
  <cellXfs count="5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43" fontId="2" fillId="0" borderId="0" xfId="0" applyNumberFormat="1" applyFont="1" applyFill="1"/>
    <xf numFmtId="43" fontId="1" fillId="0" borderId="0" xfId="0" applyNumberFormat="1" applyFont="1" applyFill="1"/>
    <xf numFmtId="0" fontId="4" fillId="0" borderId="0" xfId="0" applyFont="1" applyFill="1" applyBorder="1" applyAlignment="1">
      <alignment horizontal="center" wrapText="1"/>
    </xf>
    <xf numFmtId="164" fontId="2" fillId="0" borderId="0" xfId="1" applyFont="1" applyFill="1"/>
    <xf numFmtId="0" fontId="5" fillId="0" borderId="0" xfId="0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164" fontId="6" fillId="0" borderId="1" xfId="1" applyFont="1" applyFill="1" applyBorder="1" applyAlignment="1">
      <alignment horizontal="center"/>
    </xf>
    <xf numFmtId="43" fontId="6" fillId="0" borderId="2" xfId="1" applyNumberFormat="1" applyFont="1" applyFill="1" applyBorder="1" applyAlignment="1">
      <alignment horizontal="center"/>
    </xf>
    <xf numFmtId="164" fontId="6" fillId="0" borderId="2" xfId="1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8" fillId="0" borderId="3" xfId="0" applyFont="1" applyFill="1" applyBorder="1" applyAlignment="1">
      <alignment horizontal="center"/>
    </xf>
    <xf numFmtId="43" fontId="9" fillId="0" borderId="1" xfId="2" applyNumberFormat="1" applyFont="1" applyFill="1" applyBorder="1"/>
    <xf numFmtId="43" fontId="9" fillId="2" borderId="1" xfId="2" applyNumberFormat="1" applyFont="1" applyFill="1" applyBorder="1"/>
    <xf numFmtId="43" fontId="9" fillId="0" borderId="2" xfId="2" applyNumberFormat="1" applyFont="1" applyFill="1" applyBorder="1"/>
    <xf numFmtId="164" fontId="2" fillId="0" borderId="1" xfId="1" applyFont="1" applyFill="1" applyBorder="1" applyAlignment="1">
      <alignment horizontal="center"/>
    </xf>
    <xf numFmtId="164" fontId="10" fillId="0" borderId="4" xfId="1" applyFont="1" applyFill="1" applyBorder="1" applyAlignment="1">
      <alignment horizontal="center"/>
    </xf>
    <xf numFmtId="164" fontId="10" fillId="0" borderId="5" xfId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64" fontId="1" fillId="0" borderId="0" xfId="0" applyNumberFormat="1" applyFont="1" applyFill="1"/>
    <xf numFmtId="43" fontId="11" fillId="0" borderId="6" xfId="2" applyNumberFormat="1" applyFont="1" applyFill="1" applyBorder="1"/>
    <xf numFmtId="43" fontId="11" fillId="2" borderId="7" xfId="2" applyNumberFormat="1" applyFont="1" applyFill="1" applyBorder="1"/>
    <xf numFmtId="43" fontId="12" fillId="0" borderId="7" xfId="2" applyNumberFormat="1" applyFont="1" applyFill="1" applyBorder="1"/>
    <xf numFmtId="164" fontId="2" fillId="0" borderId="7" xfId="1" applyFont="1" applyFill="1" applyBorder="1" applyAlignment="1">
      <alignment horizontal="center"/>
    </xf>
    <xf numFmtId="43" fontId="5" fillId="0" borderId="7" xfId="2" applyNumberFormat="1" applyFont="1" applyFill="1" applyBorder="1"/>
    <xf numFmtId="0" fontId="5" fillId="0" borderId="7" xfId="0" applyFont="1" applyFill="1" applyBorder="1"/>
    <xf numFmtId="0" fontId="5" fillId="0" borderId="8" xfId="0" applyFont="1" applyFill="1" applyBorder="1" applyAlignment="1">
      <alignment horizontal="center"/>
    </xf>
    <xf numFmtId="43" fontId="11" fillId="0" borderId="9" xfId="2" applyNumberFormat="1" applyFont="1" applyFill="1" applyBorder="1"/>
    <xf numFmtId="43" fontId="11" fillId="2" borderId="10" xfId="2" applyNumberFormat="1" applyFont="1" applyFill="1" applyBorder="1"/>
    <xf numFmtId="43" fontId="12" fillId="0" borderId="10" xfId="2" applyNumberFormat="1" applyFont="1" applyFill="1" applyBorder="1"/>
    <xf numFmtId="164" fontId="2" fillId="0" borderId="10" xfId="1" applyFont="1" applyFill="1" applyBorder="1" applyAlignment="1">
      <alignment horizontal="center"/>
    </xf>
    <xf numFmtId="43" fontId="5" fillId="0" borderId="10" xfId="2" applyNumberFormat="1" applyFont="1" applyFill="1" applyBorder="1"/>
    <xf numFmtId="0" fontId="5" fillId="0" borderId="10" xfId="0" applyFont="1" applyFill="1" applyBorder="1"/>
    <xf numFmtId="0" fontId="5" fillId="0" borderId="11" xfId="0" applyFont="1" applyFill="1" applyBorder="1" applyAlignment="1">
      <alignment horizontal="center"/>
    </xf>
    <xf numFmtId="43" fontId="12" fillId="0" borderId="10" xfId="2" applyNumberFormat="1" applyFont="1" applyFill="1" applyBorder="1" applyAlignment="1">
      <alignment horizontal="center"/>
    </xf>
    <xf numFmtId="43" fontId="11" fillId="0" borderId="10" xfId="2" applyNumberFormat="1" applyFont="1" applyFill="1" applyBorder="1"/>
    <xf numFmtId="164" fontId="2" fillId="0" borderId="9" xfId="1" applyFont="1" applyFill="1" applyBorder="1"/>
    <xf numFmtId="0" fontId="2" fillId="0" borderId="0" xfId="0" applyFont="1" applyFill="1" applyBorder="1"/>
    <xf numFmtId="43" fontId="13" fillId="0" borderId="9" xfId="1" applyNumberFormat="1" applyFont="1" applyFill="1" applyBorder="1"/>
    <xf numFmtId="164" fontId="13" fillId="0" borderId="10" xfId="1" applyFont="1" applyFill="1" applyBorder="1" applyAlignment="1">
      <alignment horizontal="center"/>
    </xf>
    <xf numFmtId="0" fontId="1" fillId="0" borderId="0" xfId="0" applyFont="1" applyFill="1" applyAlignment="1">
      <alignment wrapText="1"/>
    </xf>
    <xf numFmtId="0" fontId="8" fillId="0" borderId="0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/>
    </xf>
    <xf numFmtId="0" fontId="1" fillId="0" borderId="0" xfId="0" applyFont="1" applyFill="1" applyBorder="1"/>
  </cellXfs>
  <cellStyles count="3">
    <cellStyle name="Dziesiętny" xfId="1" builtinId="3"/>
    <cellStyle name="Dziesiętny_Arkusz1" xfId="2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A29"/>
  <sheetViews>
    <sheetView tabSelected="1" topLeftCell="B1" workbookViewId="0">
      <pane xSplit="2" ySplit="4" topLeftCell="D19" activePane="bottomRight" state="frozenSplit"/>
      <selection activeCell="B1" sqref="B1"/>
      <selection pane="topRight" activeCell="D1" sqref="D1"/>
      <selection pane="bottomLeft" activeCell="B4" sqref="B4"/>
      <selection pane="bottomRight" activeCell="AC22" sqref="AC22"/>
    </sheetView>
  </sheetViews>
  <sheetFormatPr defaultRowHeight="12.75"/>
  <cols>
    <col min="1" max="1" width="15.5703125" style="1" hidden="1" customWidth="1"/>
    <col min="2" max="2" width="4.85546875" style="1" customWidth="1"/>
    <col min="3" max="3" width="16.42578125" style="1" customWidth="1"/>
    <col min="4" max="4" width="14.7109375" style="1" customWidth="1"/>
    <col min="5" max="5" width="14.7109375" style="1" hidden="1" customWidth="1"/>
    <col min="6" max="9" width="14.7109375" style="1" customWidth="1"/>
    <col min="10" max="11" width="13.85546875" style="1" hidden="1" customWidth="1"/>
    <col min="12" max="12" width="13.85546875" style="1" customWidth="1"/>
    <col min="13" max="13" width="14.7109375" style="1" customWidth="1"/>
    <col min="14" max="14" width="15.5703125" style="1" customWidth="1"/>
    <col min="15" max="15" width="14.42578125" style="1" customWidth="1"/>
    <col min="16" max="16" width="14.7109375" style="1" customWidth="1"/>
    <col min="17" max="17" width="0" style="1" hidden="1" customWidth="1"/>
    <col min="18" max="18" width="11.28515625" style="1" hidden="1" customWidth="1"/>
    <col min="19" max="19" width="3.42578125" style="1" hidden="1" customWidth="1"/>
    <col min="20" max="20" width="9.140625" style="1" hidden="1" customWidth="1"/>
    <col min="21" max="21" width="3.7109375" style="1" hidden="1" customWidth="1"/>
    <col min="22" max="22" width="9.140625" style="1" hidden="1" customWidth="1"/>
    <col min="23" max="23" width="2.7109375" style="1" hidden="1" customWidth="1"/>
    <col min="24" max="24" width="10.7109375" style="1" hidden="1" customWidth="1"/>
    <col min="25" max="26" width="9.140625" style="1" hidden="1" customWidth="1"/>
    <col min="27" max="27" width="12.28515625" style="1" hidden="1" customWidth="1"/>
    <col min="28" max="28" width="11.7109375" style="1" customWidth="1"/>
    <col min="29" max="16384" width="9.140625" style="1"/>
  </cols>
  <sheetData>
    <row r="2" spans="1:27">
      <c r="C2" s="51"/>
    </row>
    <row r="3" spans="1:27" ht="13.5" thickBot="1">
      <c r="B3" s="50" t="s">
        <v>59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27" ht="148.5" customHeight="1">
      <c r="B4" s="49" t="s">
        <v>58</v>
      </c>
      <c r="C4" s="48" t="s">
        <v>57</v>
      </c>
      <c r="D4" s="47" t="s">
        <v>56</v>
      </c>
      <c r="E4" s="47" t="s">
        <v>55</v>
      </c>
      <c r="F4" s="47" t="s">
        <v>54</v>
      </c>
      <c r="G4" s="47" t="s">
        <v>53</v>
      </c>
      <c r="H4" s="47" t="s">
        <v>52</v>
      </c>
      <c r="I4" s="47" t="s">
        <v>51</v>
      </c>
      <c r="J4" s="47" t="s">
        <v>50</v>
      </c>
      <c r="K4" s="47" t="s">
        <v>49</v>
      </c>
      <c r="L4" s="47" t="s">
        <v>48</v>
      </c>
      <c r="M4" s="47" t="s">
        <v>47</v>
      </c>
      <c r="N4" s="47" t="s">
        <v>46</v>
      </c>
      <c r="O4" s="46" t="s">
        <v>45</v>
      </c>
      <c r="P4" s="45" t="s">
        <v>44</v>
      </c>
      <c r="R4" s="44" t="s">
        <v>43</v>
      </c>
      <c r="T4" s="1" t="s">
        <v>42</v>
      </c>
      <c r="V4" s="2" t="s">
        <v>41</v>
      </c>
      <c r="X4" s="43" t="s">
        <v>40</v>
      </c>
    </row>
    <row r="5" spans="1:27">
      <c r="A5" s="7">
        <f>2166.8*12-12208.01+5508.4</f>
        <v>19301.990000000002</v>
      </c>
      <c r="B5" s="36" t="s">
        <v>39</v>
      </c>
      <c r="C5" s="35" t="s">
        <v>38</v>
      </c>
      <c r="D5" s="42">
        <v>2708.5</v>
      </c>
      <c r="E5" s="42">
        <v>3250.2</v>
      </c>
      <c r="F5" s="33">
        <v>8250.2900000000009</v>
      </c>
      <c r="G5" s="32">
        <f>(3250.2*4)+(3185.88*3)+(3250.2*5)</f>
        <v>38809.440000000002</v>
      </c>
      <c r="H5" s="34"/>
      <c r="I5" s="34"/>
      <c r="J5" s="32"/>
      <c r="K5" s="32"/>
      <c r="L5" s="32"/>
      <c r="M5" s="33">
        <f>F5+G5+K5</f>
        <v>47059.73</v>
      </c>
      <c r="N5" s="32">
        <v>28252.99</v>
      </c>
      <c r="O5" s="31">
        <f>362.83+73.71+6413.46+19622.23+153.39+225.13+184.61+240.21+179.34</f>
        <v>27454.91</v>
      </c>
      <c r="P5" s="30">
        <f>M5-O5</f>
        <v>19604.820000000003</v>
      </c>
      <c r="Q5" s="2" t="s">
        <v>7</v>
      </c>
      <c r="AA5" s="5">
        <f>D5*0.8*3+0.8*D5*9+5508.4</f>
        <v>31510</v>
      </c>
    </row>
    <row r="6" spans="1:27">
      <c r="A6" s="7">
        <f>1467.06*3+1648.38*9</f>
        <v>19236.600000000002</v>
      </c>
      <c r="B6" s="36" t="s">
        <v>37</v>
      </c>
      <c r="C6" s="35" t="s">
        <v>36</v>
      </c>
      <c r="D6" s="42">
        <v>1648.38</v>
      </c>
      <c r="E6" s="42">
        <v>1978.06</v>
      </c>
      <c r="F6" s="33">
        <v>7124.98</v>
      </c>
      <c r="G6" s="32">
        <f>(1978.06*12)</f>
        <v>23736.720000000001</v>
      </c>
      <c r="H6" s="32"/>
      <c r="I6" s="32"/>
      <c r="J6" s="32"/>
      <c r="K6" s="32"/>
      <c r="L6" s="32"/>
      <c r="M6" s="33">
        <f>F6+G6+H6+I6</f>
        <v>30861.7</v>
      </c>
      <c r="N6" s="32">
        <v>30700.42</v>
      </c>
      <c r="O6" s="31">
        <f>351.19+5420.92+189.83+430.11+16778.8+7529.57</f>
        <v>30700.42</v>
      </c>
      <c r="P6" s="30">
        <f>M6-O6</f>
        <v>161.28000000000247</v>
      </c>
      <c r="Q6" s="2" t="s">
        <v>7</v>
      </c>
      <c r="AA6" s="5">
        <f>0.89*3*D6+1*9*D6</f>
        <v>19236.594600000004</v>
      </c>
    </row>
    <row r="7" spans="1:27">
      <c r="A7" s="7">
        <f>2828.3*3+2977*9-14248.39</f>
        <v>21029.510000000002</v>
      </c>
      <c r="B7" s="36" t="s">
        <v>35</v>
      </c>
      <c r="C7" s="35" t="s">
        <v>34</v>
      </c>
      <c r="D7" s="33">
        <v>2977</v>
      </c>
      <c r="E7" s="33">
        <v>5954</v>
      </c>
      <c r="F7" s="33">
        <v>3020.88</v>
      </c>
      <c r="G7" s="32">
        <f>(3572.4*12)</f>
        <v>42868.800000000003</v>
      </c>
      <c r="H7" s="34"/>
      <c r="I7" s="34"/>
      <c r="J7" s="34"/>
      <c r="K7" s="34"/>
      <c r="L7" s="32">
        <v>3798.36</v>
      </c>
      <c r="M7" s="33">
        <f>F7+G7+L7</f>
        <v>49688.04</v>
      </c>
      <c r="N7" s="32">
        <v>49688.04</v>
      </c>
      <c r="O7" s="31">
        <f>439.57+19.23+46.2+174.11+400+40812.46+7796.47</f>
        <v>49688.04</v>
      </c>
      <c r="P7" s="30">
        <f>M7-O7</f>
        <v>0</v>
      </c>
      <c r="Q7" s="2" t="s">
        <v>7</v>
      </c>
      <c r="R7" s="1">
        <f>D7*0.79*9</f>
        <v>21166.47</v>
      </c>
      <c r="T7" s="1">
        <v>20500.52</v>
      </c>
      <c r="V7" s="1">
        <f>R7-T7</f>
        <v>665.95000000000073</v>
      </c>
      <c r="X7" s="1">
        <v>617.82000000000005</v>
      </c>
      <c r="Z7" s="1">
        <f>V7-X7</f>
        <v>48.130000000000678</v>
      </c>
      <c r="AA7" s="5">
        <f>0.95*3*D7+1*9*D7</f>
        <v>35277.449999999997</v>
      </c>
    </row>
    <row r="8" spans="1:27">
      <c r="A8" s="7">
        <f>1743.03*3+2159.82*9+18.95*9</f>
        <v>24838.02</v>
      </c>
      <c r="B8" s="36" t="s">
        <v>33</v>
      </c>
      <c r="C8" s="35" t="s">
        <v>32</v>
      </c>
      <c r="D8" s="33">
        <v>2650.35</v>
      </c>
      <c r="E8" s="33">
        <v>3180.4</v>
      </c>
      <c r="F8" s="33">
        <v>24763.25</v>
      </c>
      <c r="G8" s="32">
        <f>(3180.4*12)</f>
        <v>38164.800000000003</v>
      </c>
      <c r="H8" s="34"/>
      <c r="I8" s="34"/>
      <c r="J8" s="34"/>
      <c r="K8" s="32"/>
      <c r="L8" s="32"/>
      <c r="M8" s="33">
        <f>F8+G8+K8</f>
        <v>62928.05</v>
      </c>
      <c r="N8" s="32">
        <v>60042.38</v>
      </c>
      <c r="O8" s="31">
        <f>281.89+98.84+6904.46+798.21+42758.44+200.54+5353.81</f>
        <v>56396.19</v>
      </c>
      <c r="P8" s="41">
        <f>M8-O8</f>
        <v>6531.8600000000006</v>
      </c>
      <c r="Q8" s="40" t="s">
        <v>7</v>
      </c>
      <c r="V8" s="1">
        <f>R8-T8</f>
        <v>0</v>
      </c>
      <c r="AA8" s="5">
        <f>D8*0.8*3+1*9*D8</f>
        <v>30213.989999999998</v>
      </c>
    </row>
    <row r="9" spans="1:27">
      <c r="A9" s="7">
        <f>1404.7*3+2120.3*9</f>
        <v>23296.800000000003</v>
      </c>
      <c r="B9" s="36" t="s">
        <v>31</v>
      </c>
      <c r="C9" s="35" t="s">
        <v>30</v>
      </c>
      <c r="D9" s="33">
        <v>2061.5500000000002</v>
      </c>
      <c r="E9" s="33">
        <v>2473.85</v>
      </c>
      <c r="F9" s="33">
        <v>934.65</v>
      </c>
      <c r="G9" s="32">
        <f>(2473.85*12)</f>
        <v>29686.199999999997</v>
      </c>
      <c r="H9" s="32"/>
      <c r="I9" s="32"/>
      <c r="J9" s="34"/>
      <c r="K9" s="32"/>
      <c r="L9" s="32"/>
      <c r="M9" s="33">
        <f>F9+G9+H9+I9+K9</f>
        <v>30620.85</v>
      </c>
      <c r="N9" s="38">
        <v>30617.71</v>
      </c>
      <c r="O9" s="31">
        <f>129.15+513.96+10.33+217.79+256.63+29398.27</f>
        <v>30526.13</v>
      </c>
      <c r="P9" s="30">
        <f>M9-O9</f>
        <v>94.719999999997526</v>
      </c>
      <c r="Q9" s="2" t="s">
        <v>7</v>
      </c>
      <c r="V9" s="1">
        <f>R9-T9</f>
        <v>0</v>
      </c>
      <c r="AA9" s="5">
        <f>0.53*3*D9+9*0.8*D9</f>
        <v>18121.024500000003</v>
      </c>
    </row>
    <row r="10" spans="1:27">
      <c r="A10" s="7">
        <f>2061.55*3+2473.85*9-5222.27</f>
        <v>23227.03</v>
      </c>
      <c r="B10" s="36" t="s">
        <v>29</v>
      </c>
      <c r="C10" s="35" t="s">
        <v>28</v>
      </c>
      <c r="D10" s="33">
        <v>3032.69</v>
      </c>
      <c r="E10" s="33">
        <v>3639.2</v>
      </c>
      <c r="F10" s="33">
        <v>7413.74</v>
      </c>
      <c r="G10" s="32">
        <f>(3639.2*11)+3788.41</f>
        <v>43819.61</v>
      </c>
      <c r="H10" s="32"/>
      <c r="I10" s="32"/>
      <c r="J10" s="32"/>
      <c r="K10" s="32"/>
      <c r="L10" s="32">
        <v>5799.26</v>
      </c>
      <c r="M10" s="33">
        <f>F10+G10+H10+I10+K10+L10</f>
        <v>57032.61</v>
      </c>
      <c r="N10" s="38">
        <v>56883.4</v>
      </c>
      <c r="O10" s="31">
        <f>148.31+673.5+388.72+31441.57+244.16+3849.99+20136</f>
        <v>56882.25</v>
      </c>
      <c r="P10" s="30">
        <f>M10-O10</f>
        <v>150.36000000000058</v>
      </c>
      <c r="Q10" s="2" t="s">
        <v>7</v>
      </c>
      <c r="R10" s="1">
        <f>7*0.47*D10</f>
        <v>9977.5501000000004</v>
      </c>
      <c r="T10" s="1">
        <v>6630.53</v>
      </c>
      <c r="V10" s="1">
        <f>R10-T10</f>
        <v>3347.0201000000006</v>
      </c>
      <c r="X10" s="1">
        <v>155.5</v>
      </c>
      <c r="Z10" s="1">
        <f>V10-X10</f>
        <v>3191.5201000000006</v>
      </c>
      <c r="AA10" s="5">
        <f>1*3*D10+1.2*9*D10</f>
        <v>41851.121999999996</v>
      </c>
    </row>
    <row r="11" spans="1:27">
      <c r="A11" s="7">
        <f>1607.33*3+3032.69*9</f>
        <v>32116.199999999997</v>
      </c>
      <c r="B11" s="36" t="s">
        <v>27</v>
      </c>
      <c r="C11" s="35" t="s">
        <v>26</v>
      </c>
      <c r="D11" s="33">
        <v>2178.77</v>
      </c>
      <c r="E11" s="33">
        <v>4575.43</v>
      </c>
      <c r="F11" s="33">
        <v>15036.07</v>
      </c>
      <c r="G11" s="32">
        <f>(4575.43*3)+(2614.51*9)</f>
        <v>37256.880000000005</v>
      </c>
      <c r="H11" s="34"/>
      <c r="I11" s="34"/>
      <c r="J11" s="32"/>
      <c r="K11" s="32"/>
      <c r="L11" s="32"/>
      <c r="M11" s="33">
        <f>F11+G11+K11</f>
        <v>52292.950000000004</v>
      </c>
      <c r="N11" s="38">
        <v>44054.91</v>
      </c>
      <c r="O11" s="31">
        <f>853.51+2560.66+547.4+1285.31+8270.66</f>
        <v>13517.54</v>
      </c>
      <c r="P11" s="30">
        <f>M11-O11</f>
        <v>38775.410000000003</v>
      </c>
      <c r="Q11" s="2" t="s">
        <v>7</v>
      </c>
      <c r="V11" s="1">
        <f>R11-T11</f>
        <v>0</v>
      </c>
      <c r="AA11" s="5">
        <f>0.53*3*D11+1*9*D11</f>
        <v>23073.174299999999</v>
      </c>
    </row>
    <row r="12" spans="1:27">
      <c r="A12" s="7">
        <f>1554.78*3+1910.98*9+32.48*9</f>
        <v>22155.48</v>
      </c>
      <c r="B12" s="36" t="s">
        <v>25</v>
      </c>
      <c r="C12" s="35" t="s">
        <v>24</v>
      </c>
      <c r="D12" s="33">
        <v>2651.12</v>
      </c>
      <c r="E12" s="33">
        <f>3106.17+55.76</f>
        <v>3161.9300000000003</v>
      </c>
      <c r="F12" s="33">
        <v>55.76</v>
      </c>
      <c r="G12" s="32">
        <f>(3181.33*12)</f>
        <v>38175.96</v>
      </c>
      <c r="H12" s="32">
        <v>-974.33</v>
      </c>
      <c r="I12" s="32">
        <v>-1.42</v>
      </c>
      <c r="J12" s="32"/>
      <c r="K12" s="32"/>
      <c r="L12" s="32"/>
      <c r="M12" s="33">
        <f>F12+G12+H12+I12+K12+L12</f>
        <v>37255.97</v>
      </c>
      <c r="N12" s="38">
        <v>32161.279999999999</v>
      </c>
      <c r="O12" s="31">
        <f>105.59+539.68+28657.17+19.57+480.36+2336.63</f>
        <v>32139</v>
      </c>
      <c r="P12" s="30">
        <f>M12-O12</f>
        <v>5116.9700000000012</v>
      </c>
      <c r="Q12" s="2" t="s">
        <v>7</v>
      </c>
      <c r="V12" s="1">
        <f>R12-T12</f>
        <v>0</v>
      </c>
      <c r="AA12" s="5">
        <f>0.8*3*D12+1*9*D12</f>
        <v>30222.768</v>
      </c>
    </row>
    <row r="13" spans="1:27">
      <c r="A13" s="7">
        <f>1405.02*3+2651.12*9</f>
        <v>28075.14</v>
      </c>
      <c r="B13" s="36" t="s">
        <v>23</v>
      </c>
      <c r="C13" s="35" t="s">
        <v>22</v>
      </c>
      <c r="D13" s="33">
        <v>2066.09</v>
      </c>
      <c r="E13" s="33">
        <v>2479.35</v>
      </c>
      <c r="F13" s="33">
        <v>8967.15</v>
      </c>
      <c r="G13" s="32">
        <f>(2479.35*12)</f>
        <v>29752.199999999997</v>
      </c>
      <c r="H13" s="32"/>
      <c r="I13" s="32"/>
      <c r="J13" s="34"/>
      <c r="K13" s="32"/>
      <c r="L13" s="32"/>
      <c r="M13" s="33">
        <f>F13+G13+H13+I13+K13</f>
        <v>38719.35</v>
      </c>
      <c r="N13" s="38">
        <v>36667.65</v>
      </c>
      <c r="O13" s="31">
        <f>49.76+16.48+4937.38+251.96+266.88+420.9+36.9+72.33+458.59</f>
        <v>6511.1799999999994</v>
      </c>
      <c r="P13" s="39">
        <f>M13-O13</f>
        <v>32208.17</v>
      </c>
      <c r="Q13" s="2" t="s">
        <v>7</v>
      </c>
      <c r="V13" s="1">
        <f>R13-T13</f>
        <v>0</v>
      </c>
      <c r="AA13" s="5">
        <f>D13*0.53*3+9*1*D13</f>
        <v>21879.893100000001</v>
      </c>
    </row>
    <row r="14" spans="1:27">
      <c r="A14" s="7">
        <f>1095.02*3+1652.83*9</f>
        <v>18160.53</v>
      </c>
      <c r="B14" s="36" t="s">
        <v>21</v>
      </c>
      <c r="C14" s="35" t="s">
        <v>20</v>
      </c>
      <c r="D14" s="33">
        <v>3034.04</v>
      </c>
      <c r="E14" s="33">
        <v>3640.88</v>
      </c>
      <c r="F14" s="33">
        <v>24400.42</v>
      </c>
      <c r="G14" s="32">
        <f>(3640.88*12)</f>
        <v>43690.559999999998</v>
      </c>
      <c r="H14" s="34" t="s">
        <v>19</v>
      </c>
      <c r="I14" s="34" t="s">
        <v>18</v>
      </c>
      <c r="J14" s="34"/>
      <c r="K14" s="32"/>
      <c r="L14" s="32"/>
      <c r="M14" s="33">
        <f>F14+G14+K14</f>
        <v>68090.98</v>
      </c>
      <c r="N14" s="38">
        <v>34319.29</v>
      </c>
      <c r="O14" s="31">
        <f>73.69+897.45+12.54+28094.98+220.46+2853.43+504.54</f>
        <v>32657.09</v>
      </c>
      <c r="P14" s="30">
        <f>M14-O14</f>
        <v>35433.89</v>
      </c>
      <c r="Q14" s="2" t="s">
        <v>7</v>
      </c>
      <c r="V14" s="1">
        <f>R14-T14</f>
        <v>0</v>
      </c>
      <c r="AA14" s="5">
        <f>0.53*3*D14+9*0.8*D14</f>
        <v>26669.211599999999</v>
      </c>
    </row>
    <row r="15" spans="1:27">
      <c r="A15" s="7">
        <f>2427.2*3+3640.88*9-2016.02</f>
        <v>38033.500000000007</v>
      </c>
      <c r="B15" s="36" t="s">
        <v>17</v>
      </c>
      <c r="C15" s="35" t="s">
        <v>16</v>
      </c>
      <c r="D15" s="33">
        <v>1943.46</v>
      </c>
      <c r="E15" s="33">
        <v>1943.46</v>
      </c>
      <c r="F15" s="33">
        <v>5657.01</v>
      </c>
      <c r="G15" s="32">
        <f>(1943.46*12)</f>
        <v>23321.52</v>
      </c>
      <c r="H15" s="32"/>
      <c r="I15" s="32"/>
      <c r="J15" s="32"/>
      <c r="K15" s="32"/>
      <c r="L15" s="32"/>
      <c r="M15" s="33">
        <f>F15+G15+J15+K15+H15+I15</f>
        <v>28978.53</v>
      </c>
      <c r="N15" s="32">
        <v>23537.89</v>
      </c>
      <c r="O15" s="31">
        <f>765.33+2282.01+139.66+618.26+120.25+609.76</f>
        <v>4535.2700000000004</v>
      </c>
      <c r="P15" s="30">
        <f>M15-O15</f>
        <v>24443.26</v>
      </c>
      <c r="Q15" s="2" t="s">
        <v>7</v>
      </c>
      <c r="R15" s="1">
        <f>0.27*5*D15</f>
        <v>2623.6710000000003</v>
      </c>
      <c r="T15" s="1">
        <v>4033.15</v>
      </c>
      <c r="V15" s="1">
        <f>R15-T15</f>
        <v>-1409.4789999999998</v>
      </c>
      <c r="X15" s="1">
        <v>67.62</v>
      </c>
      <c r="Z15" s="1">
        <f>V15-X15</f>
        <v>-1477.0989999999997</v>
      </c>
      <c r="AA15" s="5">
        <f>0.8*3*D15+1.2*9*D15</f>
        <v>25653.671999999999</v>
      </c>
    </row>
    <row r="16" spans="1:27">
      <c r="A16" s="7">
        <f>1687.67*3+1687.67*9</f>
        <v>20252.04</v>
      </c>
      <c r="B16" s="36" t="s">
        <v>15</v>
      </c>
      <c r="C16" s="35" t="s">
        <v>14</v>
      </c>
      <c r="D16" s="33">
        <v>3184.36</v>
      </c>
      <c r="E16" s="33">
        <v>6368.72</v>
      </c>
      <c r="F16" s="33">
        <v>633.54999999999995</v>
      </c>
      <c r="G16" s="32">
        <f>(6368.72*12)</f>
        <v>76424.639999999999</v>
      </c>
      <c r="H16" s="37"/>
      <c r="I16" s="32"/>
      <c r="J16" s="34"/>
      <c r="K16" s="34"/>
      <c r="L16" s="34"/>
      <c r="M16" s="33">
        <f>F16+G16+H16+I16</f>
        <v>77058.19</v>
      </c>
      <c r="N16" s="32">
        <v>76000</v>
      </c>
      <c r="O16" s="31">
        <f>2807.95+48+263.57+532.77+219.39+70123.25</f>
        <v>73994.929999999993</v>
      </c>
      <c r="P16" s="30">
        <f>M16-O16</f>
        <v>3063.2600000000093</v>
      </c>
      <c r="Q16" s="2" t="s">
        <v>7</v>
      </c>
      <c r="V16" s="1">
        <f>R16-T16</f>
        <v>0</v>
      </c>
      <c r="AA16" s="5">
        <f>0.53*3*D16+0.53*9*D16</f>
        <v>20252.529600000002</v>
      </c>
    </row>
    <row r="17" spans="1:27">
      <c r="A17" s="7">
        <f>1933.26*3+2188.78*9</f>
        <v>25498.799999999999</v>
      </c>
      <c r="B17" s="36" t="s">
        <v>13</v>
      </c>
      <c r="C17" s="35" t="s">
        <v>12</v>
      </c>
      <c r="D17" s="33">
        <v>3020.7</v>
      </c>
      <c r="E17" s="33">
        <v>3624.79</v>
      </c>
      <c r="F17" s="33">
        <v>7464.26</v>
      </c>
      <c r="G17" s="32">
        <f>(3624.79*12)</f>
        <v>43497.479999999996</v>
      </c>
      <c r="H17" s="34"/>
      <c r="I17" s="34"/>
      <c r="J17" s="34"/>
      <c r="K17" s="32"/>
      <c r="L17" s="32">
        <v>3731.59</v>
      </c>
      <c r="M17" s="33">
        <f>F17+G17+K17+L17</f>
        <v>54693.33</v>
      </c>
      <c r="N17" s="32">
        <v>54693.33</v>
      </c>
      <c r="O17" s="31">
        <f>14.64+21.96+10.17+401.22+23.81+520.99+53700.54</f>
        <v>54693.33</v>
      </c>
      <c r="P17" s="30">
        <f>M17-O17</f>
        <v>0</v>
      </c>
      <c r="Q17" s="2" t="s">
        <v>7</v>
      </c>
      <c r="V17" s="1">
        <f>R17-T17</f>
        <v>0</v>
      </c>
      <c r="AA17" s="5">
        <f>0.53*3*D17+0.6*9*D17</f>
        <v>21114.692999999996</v>
      </c>
    </row>
    <row r="18" spans="1:27">
      <c r="A18" s="5">
        <f>2352.48*3+2969.75*3+2.13*D18*6</f>
        <v>62585.446200000006</v>
      </c>
      <c r="B18" s="36" t="s">
        <v>11</v>
      </c>
      <c r="C18" s="35" t="s">
        <v>10</v>
      </c>
      <c r="D18" s="33">
        <v>3647.79</v>
      </c>
      <c r="E18" s="33">
        <v>4377.29</v>
      </c>
      <c r="F18" s="33">
        <v>112.47</v>
      </c>
      <c r="G18" s="32">
        <f>(4377.29*12)</f>
        <v>52527.479999999996</v>
      </c>
      <c r="H18" s="32">
        <v>-2079.15</v>
      </c>
      <c r="I18" s="32">
        <v>-3.03</v>
      </c>
      <c r="J18" s="34"/>
      <c r="K18" s="32"/>
      <c r="L18" s="32"/>
      <c r="M18" s="33">
        <f>F18+G18+K18+L18+H18+I18</f>
        <v>50557.77</v>
      </c>
      <c r="N18" s="32">
        <v>48886.9</v>
      </c>
      <c r="O18" s="31">
        <f>303.52+89.29+400.95+120+4798</f>
        <v>5711.76</v>
      </c>
      <c r="P18" s="30">
        <f>M18-O18</f>
        <v>44846.009999999995</v>
      </c>
      <c r="Q18" s="2" t="s">
        <v>7</v>
      </c>
      <c r="V18" s="1">
        <f>R18-T18</f>
        <v>0</v>
      </c>
      <c r="AA18" s="5">
        <f>0.8*3*D18+D18*3*1+D18*6*2.13</f>
        <v>66316.822199999995</v>
      </c>
    </row>
    <row r="19" spans="1:27" ht="13.5" thickBot="1">
      <c r="A19" s="7">
        <f>2416.61*3+3624.79*9-12961.46</f>
        <v>26911.480000000003</v>
      </c>
      <c r="B19" s="29" t="s">
        <v>9</v>
      </c>
      <c r="C19" s="28" t="s">
        <v>8</v>
      </c>
      <c r="D19" s="26">
        <v>2940.63</v>
      </c>
      <c r="E19" s="26">
        <v>3528.78</v>
      </c>
      <c r="F19" s="26">
        <v>6377.48</v>
      </c>
      <c r="G19" s="25">
        <f>(3528.78*12)</f>
        <v>42345.36</v>
      </c>
      <c r="H19" s="25"/>
      <c r="I19" s="25"/>
      <c r="J19" s="27"/>
      <c r="K19" s="25"/>
      <c r="L19" s="25"/>
      <c r="M19" s="26">
        <f>F19+G19+H19+I19+K19</f>
        <v>48722.84</v>
      </c>
      <c r="N19" s="25">
        <v>45389.32</v>
      </c>
      <c r="O19" s="24">
        <f>50.97+133.49+44.04+709.4+260.98+1070.51+1440+40829.48</f>
        <v>44538.87</v>
      </c>
      <c r="P19" s="23">
        <f>M19-O19</f>
        <v>4183.9699999999939</v>
      </c>
      <c r="Q19" s="2" t="s">
        <v>7</v>
      </c>
      <c r="R19" s="1">
        <f>D19*0.76*6</f>
        <v>13409.272799999999</v>
      </c>
      <c r="S19" s="5"/>
      <c r="T19" s="1">
        <v>13451.15</v>
      </c>
      <c r="V19" s="1">
        <f>R19-T19</f>
        <v>-41.877200000000812</v>
      </c>
      <c r="X19" s="1">
        <v>269.77</v>
      </c>
      <c r="Z19" s="1">
        <f>V19-X19</f>
        <v>-311.64720000000079</v>
      </c>
      <c r="AA19" s="5">
        <f>0.8*3*D19+1.2*9*D19</f>
        <v>38816.315999999999</v>
      </c>
    </row>
    <row r="20" spans="1:27" ht="39.75" customHeight="1" thickBot="1">
      <c r="A20" s="22">
        <f>SUM(A5:A19)</f>
        <v>404718.5662</v>
      </c>
      <c r="B20" s="21" t="s">
        <v>6</v>
      </c>
      <c r="C20" s="13" t="s">
        <v>5</v>
      </c>
      <c r="D20" s="10">
        <f>SUM(D5:D19)</f>
        <v>39745.429999999993</v>
      </c>
      <c r="E20" s="10">
        <f>SUM(E5:E19)</f>
        <v>54176.34</v>
      </c>
      <c r="F20" s="10">
        <f>SUM(F5:F19)</f>
        <v>120211.95999999998</v>
      </c>
      <c r="G20" s="10">
        <f>SUM(G5:G19)</f>
        <v>604077.65</v>
      </c>
      <c r="H20" s="10">
        <f>SUM(H5:H19)</f>
        <v>-3053.48</v>
      </c>
      <c r="I20" s="10">
        <f>SUM(I5:I19)</f>
        <v>-4.4499999999999993</v>
      </c>
      <c r="J20" s="10">
        <f>SUM(J5:J19)</f>
        <v>0</v>
      </c>
      <c r="K20" s="10">
        <f>K11+K12+K18+K5+K8+K9+K10+K13+K14+K15+K17+K19</f>
        <v>0</v>
      </c>
      <c r="L20" s="10">
        <f>L7+L10+L17</f>
        <v>13329.210000000001</v>
      </c>
      <c r="M20" s="10">
        <f>SUM(M5:M19)</f>
        <v>734560.8899999999</v>
      </c>
      <c r="N20" s="10">
        <f>SUM(N5:N19)</f>
        <v>651895.51</v>
      </c>
      <c r="O20" s="10">
        <f>SUM(O5:O19)</f>
        <v>519946.91000000003</v>
      </c>
      <c r="P20" s="10">
        <f>SUM(P5:P19)</f>
        <v>214613.98</v>
      </c>
      <c r="Q20" s="20">
        <f>SUM(Q5:Q19)</f>
        <v>0</v>
      </c>
      <c r="R20" s="19">
        <f>SUM(R5:R19)</f>
        <v>47176.963900000002</v>
      </c>
      <c r="S20" s="19">
        <f>SUM(S5:S19)</f>
        <v>0</v>
      </c>
      <c r="T20" s="19">
        <f>SUM(T5:T19)</f>
        <v>44615.35</v>
      </c>
      <c r="U20" s="19">
        <f>SUM(U5:U19)</f>
        <v>0</v>
      </c>
      <c r="V20" s="19">
        <f>SUM(V5:V19)</f>
        <v>2561.6139000000007</v>
      </c>
      <c r="W20" s="19">
        <f>SUM(W5:W19)</f>
        <v>0</v>
      </c>
      <c r="X20" s="19">
        <f>SUM(X5:X19)</f>
        <v>1110.71</v>
      </c>
      <c r="Y20" s="19">
        <f>SUM(Y5:Y19)</f>
        <v>0</v>
      </c>
      <c r="Z20" s="19">
        <f>SUM(Z5:Z19)</f>
        <v>1450.9039000000007</v>
      </c>
      <c r="AA20" s="19">
        <f>SUM(AA5:AA19)</f>
        <v>450209.26089999999</v>
      </c>
    </row>
    <row r="21" spans="1:27" ht="42" customHeight="1" thickBot="1">
      <c r="B21" s="14" t="s">
        <v>4</v>
      </c>
      <c r="C21" s="13" t="s">
        <v>3</v>
      </c>
      <c r="D21" s="18">
        <v>0</v>
      </c>
      <c r="E21" s="18"/>
      <c r="F21" s="10">
        <v>73933.89</v>
      </c>
      <c r="G21" s="15"/>
      <c r="H21" s="15">
        <f>-H20</f>
        <v>3053.48</v>
      </c>
      <c r="I21" s="15">
        <f>-I20</f>
        <v>4.4499999999999993</v>
      </c>
      <c r="J21" s="15"/>
      <c r="K21" s="17"/>
      <c r="L21" s="17">
        <v>-13329.21</v>
      </c>
      <c r="M21" s="10">
        <f>F21+H21+I21+G21+J21+L21</f>
        <v>63662.609999999993</v>
      </c>
      <c r="N21" s="15">
        <v>35979.949999999997</v>
      </c>
      <c r="O21" s="16">
        <f>3+1402.85+15858.61+5536.88+12.09+11829.3</f>
        <v>34642.729999999996</v>
      </c>
      <c r="P21" s="15">
        <f>M21-O21</f>
        <v>29019.879999999997</v>
      </c>
      <c r="R21" s="1">
        <f>R7+R10+R15+R19</f>
        <v>47176.963900000002</v>
      </c>
      <c r="S21" s="1">
        <f>S7+S10+S15+S19</f>
        <v>0</v>
      </c>
      <c r="T21" s="1">
        <f>T7+T10+T15+T19</f>
        <v>44615.35</v>
      </c>
      <c r="U21" s="1">
        <f>U7+U10+U15+U19</f>
        <v>0</v>
      </c>
      <c r="V21" s="1">
        <f>V7+V10+V15+V19</f>
        <v>2561.6139000000007</v>
      </c>
      <c r="X21" s="1">
        <f>X7+X10+X15+X19</f>
        <v>1110.71</v>
      </c>
      <c r="Z21" s="1">
        <f>X21+T21</f>
        <v>45726.06</v>
      </c>
    </row>
    <row r="22" spans="1:27" ht="30" customHeight="1" thickBot="1">
      <c r="B22" s="14" t="s">
        <v>2</v>
      </c>
      <c r="C22" s="13" t="s">
        <v>1</v>
      </c>
      <c r="D22" s="10">
        <f>D20+D21</f>
        <v>39745.429999999993</v>
      </c>
      <c r="E22" s="12">
        <f>E20</f>
        <v>54176.34</v>
      </c>
      <c r="F22" s="10">
        <f>F20+F21</f>
        <v>194145.84999999998</v>
      </c>
      <c r="G22" s="10">
        <f>G20+G21</f>
        <v>604077.65</v>
      </c>
      <c r="H22" s="10">
        <f>H21+H20</f>
        <v>0</v>
      </c>
      <c r="I22" s="10">
        <f>I21+I20</f>
        <v>0</v>
      </c>
      <c r="J22" s="10">
        <f>J20+J21</f>
        <v>0</v>
      </c>
      <c r="K22" s="12">
        <f>K20</f>
        <v>0</v>
      </c>
      <c r="L22" s="11">
        <f>L20+L21</f>
        <v>0</v>
      </c>
      <c r="M22" s="10">
        <f>M20+M21</f>
        <v>798223.49999999988</v>
      </c>
      <c r="N22" s="10">
        <f>N20+N21</f>
        <v>687875.46</v>
      </c>
      <c r="O22" s="10">
        <f>O20+O21</f>
        <v>554589.64</v>
      </c>
      <c r="P22" s="10">
        <f>P20+P21</f>
        <v>243633.86000000002</v>
      </c>
      <c r="V22" s="1">
        <f>V21-X21</f>
        <v>1450.9039000000007</v>
      </c>
      <c r="Z22" s="5">
        <f>G21-Z21</f>
        <v>-45726.06</v>
      </c>
    </row>
    <row r="23" spans="1:27">
      <c r="O23" s="7"/>
      <c r="P23" s="2"/>
      <c r="R23" s="5">
        <f>G21-R21</f>
        <v>-47176.963900000002</v>
      </c>
    </row>
    <row r="24" spans="1:27">
      <c r="B24" s="9"/>
      <c r="C24" s="8"/>
      <c r="N24" s="7"/>
      <c r="O24" s="7"/>
      <c r="P24" s="4"/>
    </row>
    <row r="25" spans="1:27">
      <c r="B25" s="6"/>
      <c r="C25" s="6"/>
      <c r="N25" s="5"/>
      <c r="O25" s="4"/>
    </row>
    <row r="26" spans="1:27" hidden="1">
      <c r="F26" s="2" t="s">
        <v>0</v>
      </c>
    </row>
    <row r="27" spans="1:27" hidden="1"/>
    <row r="28" spans="1:27">
      <c r="B28" s="3"/>
      <c r="C28" s="3"/>
    </row>
    <row r="29" spans="1:27">
      <c r="C29" s="2"/>
    </row>
  </sheetData>
  <mergeCells count="4">
    <mergeCell ref="B3:P3"/>
    <mergeCell ref="B24:C24"/>
    <mergeCell ref="B25:C25"/>
    <mergeCell ref="B28:C28"/>
  </mergeCells>
  <pageMargins left="0.70866141732283472" right="0.70866141732283472" top="0.74803149606299213" bottom="0.74803149606299213" header="0.31496062992125984" footer="0.31496062992125984"/>
  <pageSetup paperSize="9" scale="7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ŚRODKI I-XII 2016 (2)</vt:lpstr>
    </vt:vector>
  </TitlesOfParts>
  <Company>SM "Związkowiec"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Bochenek</dc:creator>
  <cp:lastModifiedBy>Barbara Bochenek</cp:lastModifiedBy>
  <dcterms:created xsi:type="dcterms:W3CDTF">2017-03-02T07:48:47Z</dcterms:created>
  <dcterms:modified xsi:type="dcterms:W3CDTF">2017-03-02T07:49:31Z</dcterms:modified>
</cp:coreProperties>
</file>