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0340" windowHeight="6810"/>
  </bookViews>
  <sheets>
    <sheet name="REALIZACJA XII 2016" sheetId="1" r:id="rId1"/>
  </sheets>
  <definedNames>
    <definedName name="Excel_BuiltIn_Print_Titles_1" localSheetId="0">'REALIZACJA XII 2016'!$5:$6</definedName>
    <definedName name="_xlnm.Print_Area" localSheetId="0">'REALIZACJA XII 2016'!$A$1:$O$133</definedName>
    <definedName name="_xlnm.Print_Titles" localSheetId="0">'REALIZACJA XII 2016'!$4:$6</definedName>
  </definedNames>
  <calcPr calcId="125725"/>
</workbook>
</file>

<file path=xl/calcChain.xml><?xml version="1.0" encoding="utf-8"?>
<calcChain xmlns="http://schemas.openxmlformats.org/spreadsheetml/2006/main">
  <c r="J112" i="1"/>
  <c r="J34"/>
  <c r="J33"/>
  <c r="J68"/>
  <c r="J16"/>
  <c r="J15"/>
  <c r="J109"/>
  <c r="J30"/>
  <c r="J128"/>
  <c r="J127"/>
  <c r="J29"/>
  <c r="J8"/>
  <c r="J130"/>
  <c r="J35"/>
  <c r="J110"/>
  <c r="J129"/>
  <c r="J132"/>
  <c r="J126"/>
  <c r="J102"/>
  <c r="J22"/>
  <c r="J116"/>
  <c r="J108"/>
  <c r="J115"/>
  <c r="I132"/>
  <c r="G132"/>
  <c r="F132"/>
  <c r="F133" s="1"/>
  <c r="D132"/>
  <c r="I121"/>
  <c r="I124"/>
  <c r="H133"/>
  <c r="F121"/>
  <c r="H124"/>
  <c r="H46"/>
  <c r="J27"/>
  <c r="J26"/>
  <c r="J46"/>
  <c r="J124"/>
  <c r="J121"/>
  <c r="J117"/>
  <c r="J114"/>
  <c r="J113"/>
  <c r="J107"/>
  <c r="J105"/>
  <c r="J103"/>
  <c r="J92"/>
  <c r="J91"/>
  <c r="J90"/>
  <c r="J89"/>
  <c r="J88"/>
  <c r="J87"/>
  <c r="J86"/>
  <c r="J85"/>
  <c r="J84"/>
  <c r="J31"/>
  <c r="J12"/>
  <c r="I46"/>
  <c r="J111" l="1"/>
  <c r="J21"/>
  <c r="J28"/>
  <c r="J104"/>
  <c r="J32"/>
  <c r="J98"/>
  <c r="J37"/>
  <c r="J44"/>
  <c r="J97"/>
  <c r="J36"/>
  <c r="J40"/>
  <c r="J43"/>
  <c r="J42"/>
  <c r="J64"/>
  <c r="J72"/>
  <c r="J14"/>
  <c r="J71"/>
  <c r="J13"/>
  <c r="J106"/>
  <c r="J65"/>
  <c r="J82"/>
  <c r="J79"/>
  <c r="J62"/>
  <c r="J94"/>
  <c r="J17"/>
  <c r="H82"/>
  <c r="H118"/>
  <c r="H100"/>
  <c r="I82"/>
  <c r="I79"/>
  <c r="H79"/>
  <c r="G73"/>
  <c r="I69"/>
  <c r="G69"/>
  <c r="F69"/>
  <c r="E69"/>
  <c r="D69"/>
  <c r="I62"/>
  <c r="H62"/>
  <c r="G46"/>
  <c r="E46"/>
  <c r="E38"/>
  <c r="H24"/>
  <c r="J73" l="1"/>
  <c r="J24"/>
  <c r="J69"/>
  <c r="J100"/>
  <c r="J38"/>
  <c r="J118"/>
  <c r="F73"/>
  <c r="D38"/>
  <c r="I8"/>
  <c r="I13"/>
  <c r="I15"/>
  <c r="I16"/>
  <c r="I19"/>
  <c r="I22"/>
  <c r="D24"/>
  <c r="E24"/>
  <c r="F24"/>
  <c r="G24"/>
  <c r="F38"/>
  <c r="G38"/>
  <c r="I73"/>
  <c r="D100"/>
  <c r="E100"/>
  <c r="F100"/>
  <c r="G100"/>
  <c r="I102"/>
  <c r="I106"/>
  <c r="I109"/>
  <c r="I110"/>
  <c r="I113"/>
  <c r="I116"/>
  <c r="D118"/>
  <c r="E118"/>
  <c r="F118"/>
  <c r="G118"/>
  <c r="G133" s="1"/>
  <c r="J133" l="1"/>
  <c r="D133"/>
  <c r="E133"/>
  <c r="I24"/>
  <c r="I100"/>
  <c r="I118"/>
  <c r="I38"/>
  <c r="I133" s="1"/>
</calcChain>
</file>

<file path=xl/sharedStrings.xml><?xml version="1.0" encoding="utf-8"?>
<sst xmlns="http://schemas.openxmlformats.org/spreadsheetml/2006/main" count="275" uniqueCount="128">
  <si>
    <t xml:space="preserve"> </t>
  </si>
  <si>
    <t>OGÓŁEM:</t>
  </si>
  <si>
    <t>RAZEM:</t>
  </si>
  <si>
    <t>Sygietyńskiego17</t>
  </si>
  <si>
    <t>Sygietyńskiego 15</t>
  </si>
  <si>
    <t>Kiepury 47A</t>
  </si>
  <si>
    <t>Kiepury 47</t>
  </si>
  <si>
    <t>Kiepury 45B</t>
  </si>
  <si>
    <t>Kiepury 45A</t>
  </si>
  <si>
    <t>Kiepury 65</t>
  </si>
  <si>
    <t>Kiepury 63</t>
  </si>
  <si>
    <t>Kiepury 61</t>
  </si>
  <si>
    <t>Kiepury 59</t>
  </si>
  <si>
    <t>Kiepury 57</t>
  </si>
  <si>
    <t>Kiepury 55</t>
  </si>
  <si>
    <t>Kiepury 53</t>
  </si>
  <si>
    <t>Kiepury 51</t>
  </si>
  <si>
    <t>Kiepury 49</t>
  </si>
  <si>
    <t>WŁASNE</t>
  </si>
  <si>
    <t xml:space="preserve">ZLECONE                                                                          </t>
  </si>
  <si>
    <t>Nieprzewidziane awarie oraz drobne roboty budowlane w budynkach :</t>
  </si>
  <si>
    <t>ZLECONE</t>
  </si>
  <si>
    <t>Nieruchomość Spółdzielni</t>
  </si>
  <si>
    <t>9.</t>
  </si>
  <si>
    <t>8.</t>
  </si>
  <si>
    <t>6.</t>
  </si>
  <si>
    <t>Sygietyńskiego 17</t>
  </si>
  <si>
    <t>5.</t>
  </si>
  <si>
    <t>3.</t>
  </si>
  <si>
    <t>2.</t>
  </si>
  <si>
    <t>15 bud.</t>
  </si>
  <si>
    <t>1 bud.</t>
  </si>
  <si>
    <t>1.</t>
  </si>
  <si>
    <t>Wykonanie                   własne</t>
  </si>
  <si>
    <t>Wykonanie               zlecone</t>
  </si>
  <si>
    <t>Nieruchomości spółdzielni</t>
  </si>
  <si>
    <t>Budynki                               Kiepury 61,63,65,Syg.17</t>
  </si>
  <si>
    <t>Budynki      Kiepury          55,57,59,Syg.15</t>
  </si>
  <si>
    <t xml:space="preserve">Budynki Kiepury 49,51,53 </t>
  </si>
  <si>
    <t>Budynki Kiepury 45A,45B,47,47A</t>
  </si>
  <si>
    <t>Uwagi o realizacji</t>
  </si>
  <si>
    <t>Forma realizacji</t>
  </si>
  <si>
    <t>Zakres ilościowy</t>
  </si>
  <si>
    <t>Rodzaje robót  i ich lokalizacja</t>
  </si>
  <si>
    <t>Lp.</t>
  </si>
  <si>
    <t xml:space="preserve"> PLAN RZECZOWO-FINANSOWY  ROBÓT REMONTOWYCH W SPÓŁDZIELNI MIESZKANIOWEJ "ZWIĄZKOWIEC" </t>
  </si>
  <si>
    <t xml:space="preserve">Remont małej  architektury polegający na częściowej naprawie wraz z odmalowaniem urządzeń zabawowych oraz wymianą ławek parkowych przy budynkach : </t>
  </si>
  <si>
    <t>I kl. schod.</t>
  </si>
  <si>
    <t xml:space="preserve">Kiepury 57          </t>
  </si>
  <si>
    <t xml:space="preserve">Kiepury 59      </t>
  </si>
  <si>
    <t>1 boks</t>
  </si>
  <si>
    <t xml:space="preserve">Remont polegający na wymianie okien w klatkach schodowych, wiatrołapach, suszarniach i korytarzach piwnicznych  w budynkach :                      </t>
  </si>
  <si>
    <t>2 szt.</t>
  </si>
  <si>
    <t>Kiepury 63 (suszarnia)</t>
  </si>
  <si>
    <t>Remont polegający na ociepleniu ścian zewnętrznych wraz z remontem balkonów budynków :</t>
  </si>
  <si>
    <t>Sygietyńskiego 15 (3 balkony)</t>
  </si>
  <si>
    <t>Sygietyńskiego 17 (2 balkony)</t>
  </si>
  <si>
    <t>4 boksy</t>
  </si>
  <si>
    <t>4 daszki</t>
  </si>
  <si>
    <t xml:space="preserve">Remont polegajacy na wymianie osiatkowania na słupach znajdujacych się za bramkami boiska : </t>
  </si>
  <si>
    <t>Remont polegajacy na wykonaniu nowego pokrycia z papy termozgrzewalnej daszków wraz z wymianą rynien, rur spustowych i obróbek blacharskich nad wejściami do 4 klatek schodowych budynku:</t>
  </si>
  <si>
    <t xml:space="preserve">Sygietyńskiego 15 </t>
  </si>
  <si>
    <t xml:space="preserve">Sygietyńskiego 17 </t>
  </si>
  <si>
    <t>II kl. schod</t>
  </si>
  <si>
    <r>
      <t>96 m</t>
    </r>
    <r>
      <rPr>
        <sz val="12"/>
        <rFont val="Calibri"/>
        <family val="2"/>
        <charset val="238"/>
      </rPr>
      <t>²</t>
    </r>
  </si>
  <si>
    <r>
      <t>96 m</t>
    </r>
    <r>
      <rPr>
        <b/>
        <sz val="12"/>
        <rFont val="Calibri"/>
        <family val="2"/>
        <charset val="238"/>
      </rPr>
      <t>²</t>
    </r>
  </si>
  <si>
    <t>15 nier.</t>
  </si>
  <si>
    <t>I i II kl. schod.</t>
  </si>
  <si>
    <t>10.</t>
  </si>
  <si>
    <t>4.</t>
  </si>
  <si>
    <t>7.</t>
  </si>
  <si>
    <t>Remont polegajacy na montażu ław i stopnic kominiarskich oraz na montażu  4 kompletów wyłazów dachowych na dachach budynków:</t>
  </si>
  <si>
    <t>Opracowanie projektów projektów budowlanych rozbudowy parkingów przy budynkach:</t>
  </si>
  <si>
    <t>4 kpl.</t>
  </si>
  <si>
    <t>12 kpl.</t>
  </si>
  <si>
    <t>oraz budowy parkingu przy budynku:</t>
  </si>
  <si>
    <t>Kiepury 53 (9 balkonów)</t>
  </si>
  <si>
    <t>Usunięcie drobnych usterek stwierdzonych w trakcie wykonanej w 2016r. kontroli okresowej 5-cio letniej polegającej na sprawdzeniu stanu technicznego i przydatności do użytkowania obiektu budowlanego, estetyki obiektu budowlanego i jego otoczenia oraz wykonanych w 2015r. rocznych kontroli (budowlana, gazowa, kominiarska) budynków:</t>
  </si>
  <si>
    <t>6 daszków</t>
  </si>
  <si>
    <t>3 daszki</t>
  </si>
  <si>
    <t>28 szt.</t>
  </si>
  <si>
    <t>27 szt.</t>
  </si>
  <si>
    <t>7 szt.</t>
  </si>
  <si>
    <t>38 szt.</t>
  </si>
  <si>
    <r>
      <t>444 m</t>
    </r>
    <r>
      <rPr>
        <sz val="12"/>
        <rFont val="Calibri"/>
        <family val="2"/>
        <charset val="238"/>
      </rPr>
      <t>²</t>
    </r>
  </si>
  <si>
    <t>Planowana wartość robót (zł)</t>
  </si>
  <si>
    <t>Ogółem planowana  wartość robót (zł)</t>
  </si>
  <si>
    <t xml:space="preserve">Remont polegajacy na oczyszceniu, zakonserwowaniu oraz pomalowaniu farbą antykorozyjną zadaszeń boksów śmietnikowych gromadzących odpady komunalne z   budynków :                       </t>
  </si>
  <si>
    <r>
      <t>195 m</t>
    </r>
    <r>
      <rPr>
        <sz val="12"/>
        <rFont val="Calibri"/>
        <family val="2"/>
        <charset val="238"/>
      </rPr>
      <t>²</t>
    </r>
  </si>
  <si>
    <r>
      <t>187 m</t>
    </r>
    <r>
      <rPr>
        <sz val="12"/>
        <rFont val="Calibri"/>
        <family val="2"/>
        <charset val="238"/>
      </rPr>
      <t>²</t>
    </r>
  </si>
  <si>
    <t>154 m²</t>
  </si>
  <si>
    <r>
      <t>123 m</t>
    </r>
    <r>
      <rPr>
        <sz val="12"/>
        <rFont val="Calibri"/>
        <family val="2"/>
        <charset val="238"/>
      </rPr>
      <t>²</t>
    </r>
  </si>
  <si>
    <t>Kiepury 47A (10 balkonów)</t>
  </si>
  <si>
    <t>Kiepury 45B (8 balkonów)</t>
  </si>
  <si>
    <t xml:space="preserve">Kiepury 45A (10 balkonów)        </t>
  </si>
  <si>
    <t>21 daszków</t>
  </si>
  <si>
    <t>NIE ROZPOCZ.REALIZ.</t>
  </si>
  <si>
    <t>ZREALIZOWANE</t>
  </si>
  <si>
    <r>
      <t>160 m</t>
    </r>
    <r>
      <rPr>
        <sz val="12"/>
        <rFont val="Calibri"/>
        <family val="2"/>
        <charset val="238"/>
      </rPr>
      <t>²</t>
    </r>
  </si>
  <si>
    <t xml:space="preserve"> 138 m²</t>
  </si>
  <si>
    <r>
      <t>351 m</t>
    </r>
    <r>
      <rPr>
        <sz val="12"/>
        <rFont val="Calibri"/>
        <family val="2"/>
        <charset val="238"/>
      </rPr>
      <t>²</t>
    </r>
  </si>
  <si>
    <t xml:space="preserve">Kiepury 59 </t>
  </si>
  <si>
    <t>109 szt.</t>
  </si>
  <si>
    <t>Nieruchomość Spółdzielni-świetlica</t>
  </si>
  <si>
    <t>25 m</t>
  </si>
  <si>
    <t>Nieruchomość Sópłdzielni - pomieszczenia ADM</t>
  </si>
  <si>
    <t xml:space="preserve">Wykonanie ogrodzenia z paneli montowanych na słupkach wraz z furtką i  bramą od strony lewego szczytu budynku Kiepury 51: </t>
  </si>
  <si>
    <t>12.</t>
  </si>
  <si>
    <t>5 kom.</t>
  </si>
  <si>
    <t xml:space="preserve">Remont polegajacy na przemurowaniu ponad dachem 5 kominów w I klatce schodowej budynku:  </t>
  </si>
  <si>
    <t>11.</t>
  </si>
  <si>
    <r>
      <t>128m</t>
    </r>
    <r>
      <rPr>
        <sz val="12"/>
        <rFont val="Calibri"/>
        <family val="2"/>
        <charset val="238"/>
      </rPr>
      <t>²</t>
    </r>
  </si>
  <si>
    <t>157 m²</t>
  </si>
  <si>
    <t>262 m²</t>
  </si>
  <si>
    <t>Remont polegający na naprawie pokrycia wykonanego z papy termozgrzewalnej i z blachodachówki oraz obróbek blacharskich przy kominach wentylacyjnych na dachach bydynków:</t>
  </si>
  <si>
    <t>13.</t>
  </si>
  <si>
    <t>Kiepury 59 (nad l.mieszkalnym nr 7)</t>
  </si>
  <si>
    <t>Kiepury 55 (nad l.mieszkalnym nr 23 i 24)</t>
  </si>
  <si>
    <t>Kiepury 57(nad l.mieszkalnym nr 10 i 24)</t>
  </si>
  <si>
    <t>Kiepury 65 (nad l.mieszkalnym nr 50)</t>
  </si>
  <si>
    <t>Kiepury 45A (nad l.mieszkalnym nr 58 i 60)</t>
  </si>
  <si>
    <t>Sygietyńskiego 15 ( nad l.mieszkalnym nr 15/2p,15/12p i 15/14p)</t>
  </si>
  <si>
    <r>
      <t xml:space="preserve"> 142 m</t>
    </r>
    <r>
      <rPr>
        <sz val="12"/>
        <rFont val="Calibri"/>
        <family val="2"/>
        <charset val="238"/>
      </rPr>
      <t>²</t>
    </r>
  </si>
  <si>
    <r>
      <t>2441 m</t>
    </r>
    <r>
      <rPr>
        <b/>
        <sz val="12"/>
        <rFont val="Calibri"/>
        <family val="2"/>
        <charset val="238"/>
      </rPr>
      <t>²</t>
    </r>
  </si>
  <si>
    <t>REALIZACJA I - XII 2016r.</t>
  </si>
  <si>
    <t>Jelenia Góra, dnia 17.02.2017r.</t>
  </si>
  <si>
    <t>Wartość robót zrealizowanych z uwzględnieniem VAT odliczonego na dzień 31.12.2016r.</t>
  </si>
  <si>
    <t>ZREALIZOWANO</t>
  </si>
</sst>
</file>

<file path=xl/styles.xml><?xml version="1.0" encoding="utf-8"?>
<styleSheet xmlns="http://schemas.openxmlformats.org/spreadsheetml/2006/main">
  <numFmts count="5">
    <numFmt numFmtId="43" formatCode="_-* #,##0.00\ _z_ł_-;\-* #,##0.00\ _z_ł_-;_-* &quot;-&quot;??\ _z_ł_-;_-@_-"/>
    <numFmt numFmtId="164" formatCode="_-* #,##0.00\ _z_ł_-;\-* #,##0.00\ _z_ł_-;_-* \-??\ _z_ł_-;_-@_-"/>
    <numFmt numFmtId="165" formatCode="00\-000"/>
    <numFmt numFmtId="166" formatCode="0.0"/>
    <numFmt numFmtId="167" formatCode="#,##0.00_ ;\-#,##0.00\ "/>
  </numFmts>
  <fonts count="27">
    <font>
      <sz val="10"/>
      <name val="Arial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9"/>
      <name val="Times New Roman"/>
      <family val="1"/>
    </font>
    <font>
      <b/>
      <sz val="12"/>
      <name val="Times New Roman"/>
      <family val="1"/>
      <charset val="238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sz val="12"/>
      <color indexed="15"/>
      <name val="Arial"/>
      <family val="2"/>
      <charset val="238"/>
    </font>
    <font>
      <sz val="12"/>
      <color indexed="15"/>
      <name val="Times New Roman"/>
      <family val="1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04"/>
    </font>
    <font>
      <b/>
      <sz val="12"/>
      <color indexed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10"/>
      <name val="Times New Roman"/>
      <family val="1"/>
    </font>
    <font>
      <b/>
      <sz val="12"/>
      <name val="Calibri"/>
      <family val="2"/>
      <charset val="238"/>
    </font>
    <font>
      <b/>
      <sz val="12"/>
      <color indexed="10"/>
      <name val="Times New Roman"/>
      <family val="1"/>
    </font>
    <font>
      <u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9"/>
      <name val="Arial Unicode MS"/>
      <family val="2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310">
    <xf numFmtId="0" fontId="0" fillId="0" borderId="0" xfId="0"/>
    <xf numFmtId="164" fontId="0" fillId="0" borderId="0" xfId="1" applyFont="1" applyFill="1" applyBorder="1" applyAlignment="1" applyProtection="1"/>
    <xf numFmtId="39" fontId="0" fillId="0" borderId="0" xfId="1" applyNumberFormat="1" applyFont="1" applyFill="1" applyBorder="1" applyAlignment="1" applyProtection="1"/>
    <xf numFmtId="1" fontId="2" fillId="0" borderId="0" xfId="1" applyNumberFormat="1" applyFont="1" applyFill="1" applyBorder="1" applyAlignment="1" applyProtection="1"/>
    <xf numFmtId="164" fontId="3" fillId="0" borderId="0" xfId="1" applyFont="1" applyFill="1" applyBorder="1" applyAlignment="1" applyProtection="1">
      <alignment vertical="center" shrinkToFit="1"/>
    </xf>
    <xf numFmtId="164" fontId="3" fillId="0" borderId="0" xfId="1" applyFont="1" applyFill="1" applyBorder="1" applyAlignment="1" applyProtection="1">
      <alignment vertical="center"/>
    </xf>
    <xf numFmtId="164" fontId="5" fillId="0" borderId="0" xfId="1" applyFont="1" applyFill="1" applyBorder="1" applyAlignment="1" applyProtection="1">
      <alignment horizontal="left" vertical="center"/>
    </xf>
    <xf numFmtId="164" fontId="6" fillId="0" borderId="0" xfId="1" applyFont="1" applyFill="1" applyBorder="1" applyAlignment="1" applyProtection="1">
      <alignment horizontal="center" vertical="center" wrapText="1"/>
    </xf>
    <xf numFmtId="164" fontId="5" fillId="0" borderId="0" xfId="1" applyFont="1" applyFill="1" applyBorder="1" applyAlignment="1" applyProtection="1">
      <alignment horizontal="right" vertical="center"/>
    </xf>
    <xf numFmtId="1" fontId="3" fillId="0" borderId="0" xfId="1" applyNumberFormat="1" applyFont="1" applyFill="1" applyBorder="1" applyAlignment="1" applyProtection="1">
      <alignment horizontal="center" vertical="center"/>
    </xf>
    <xf numFmtId="39" fontId="3" fillId="0" borderId="0" xfId="1" applyNumberFormat="1" applyFont="1" applyFill="1" applyBorder="1" applyAlignment="1" applyProtection="1">
      <alignment vertical="center"/>
    </xf>
    <xf numFmtId="164" fontId="3" fillId="0" borderId="0" xfId="1" applyFont="1" applyFill="1" applyBorder="1" applyAlignment="1" applyProtection="1">
      <alignment vertical="center" wrapText="1"/>
    </xf>
    <xf numFmtId="164" fontId="1" fillId="0" borderId="0" xfId="1" applyFont="1" applyFill="1" applyBorder="1" applyAlignment="1" applyProtection="1"/>
    <xf numFmtId="164" fontId="7" fillId="0" borderId="0" xfId="1" applyFont="1" applyFill="1" applyBorder="1" applyAlignment="1" applyProtection="1"/>
    <xf numFmtId="164" fontId="7" fillId="0" borderId="0" xfId="1" applyFont="1" applyFill="1" applyBorder="1" applyAlignment="1" applyProtection="1">
      <alignment vertical="center"/>
    </xf>
    <xf numFmtId="43" fontId="7" fillId="0" borderId="0" xfId="1" applyNumberFormat="1" applyFont="1" applyFill="1" applyBorder="1" applyAlignment="1" applyProtection="1">
      <alignment horizontal="left" vertical="center"/>
    </xf>
    <xf numFmtId="39" fontId="5" fillId="0" borderId="0" xfId="1" applyNumberFormat="1" applyFont="1" applyFill="1" applyBorder="1" applyAlignment="1" applyProtection="1">
      <alignment vertical="center"/>
    </xf>
    <xf numFmtId="164" fontId="5" fillId="0" borderId="0" xfId="1" applyFont="1" applyFill="1" applyBorder="1" applyAlignment="1" applyProtection="1">
      <alignment vertical="center"/>
    </xf>
    <xf numFmtId="164" fontId="5" fillId="0" borderId="0" xfId="1" applyFont="1" applyFill="1" applyBorder="1" applyAlignment="1" applyProtection="1">
      <alignment vertical="center" wrapText="1"/>
    </xf>
    <xf numFmtId="1" fontId="8" fillId="0" borderId="1" xfId="1" applyNumberFormat="1" applyFont="1" applyFill="1" applyBorder="1" applyAlignment="1" applyProtection="1"/>
    <xf numFmtId="164" fontId="7" fillId="0" borderId="2" xfId="1" applyFont="1" applyFill="1" applyBorder="1" applyAlignment="1" applyProtection="1">
      <alignment horizontal="left" vertical="center"/>
    </xf>
    <xf numFmtId="43" fontId="4" fillId="0" borderId="2" xfId="1" applyNumberFormat="1" applyFont="1" applyFill="1" applyBorder="1" applyAlignment="1" applyProtection="1">
      <alignment horizontal="left" vertical="center"/>
    </xf>
    <xf numFmtId="4" fontId="4" fillId="2" borderId="2" xfId="1" applyNumberFormat="1" applyFont="1" applyFill="1" applyBorder="1" applyAlignment="1" applyProtection="1">
      <alignment horizontal="center" vertical="center"/>
    </xf>
    <xf numFmtId="4" fontId="4" fillId="0" borderId="2" xfId="1" applyNumberFormat="1" applyFont="1" applyFill="1" applyBorder="1" applyAlignment="1" applyProtection="1">
      <alignment horizontal="center" vertical="center"/>
    </xf>
    <xf numFmtId="164" fontId="9" fillId="0" borderId="2" xfId="1" applyFont="1" applyFill="1" applyBorder="1" applyAlignment="1" applyProtection="1"/>
    <xf numFmtId="164" fontId="4" fillId="0" borderId="2" xfId="1" applyFont="1" applyFill="1" applyBorder="1" applyAlignment="1" applyProtection="1">
      <alignment horizontal="center" vertical="center"/>
    </xf>
    <xf numFmtId="1" fontId="10" fillId="0" borderId="2" xfId="1" applyNumberFormat="1" applyFont="1" applyFill="1" applyBorder="1" applyAlignment="1" applyProtection="1">
      <alignment horizontal="center" vertical="center"/>
    </xf>
    <xf numFmtId="164" fontId="7" fillId="0" borderId="3" xfId="1" applyFont="1" applyFill="1" applyBorder="1" applyAlignment="1" applyProtection="1"/>
    <xf numFmtId="4" fontId="4" fillId="0" borderId="3" xfId="1" applyNumberFormat="1" applyFont="1" applyFill="1" applyBorder="1" applyAlignment="1" applyProtection="1">
      <alignment horizontal="center" vertical="center"/>
    </xf>
    <xf numFmtId="2" fontId="4" fillId="0" borderId="3" xfId="1" applyNumberFormat="1" applyFont="1" applyFill="1" applyBorder="1" applyAlignment="1" applyProtection="1">
      <alignment horizontal="center" vertical="center"/>
    </xf>
    <xf numFmtId="164" fontId="4" fillId="0" borderId="3" xfId="1" applyFont="1" applyFill="1" applyBorder="1" applyAlignment="1" applyProtection="1">
      <alignment horizontal="center" vertical="center" wrapText="1"/>
    </xf>
    <xf numFmtId="164" fontId="5" fillId="0" borderId="4" xfId="1" applyFont="1" applyFill="1" applyBorder="1" applyAlignment="1" applyProtection="1">
      <alignment horizontal="center" vertical="center" wrapText="1"/>
    </xf>
    <xf numFmtId="4" fontId="5" fillId="0" borderId="6" xfId="1" applyNumberFormat="1" applyFont="1" applyFill="1" applyBorder="1" applyAlignment="1" applyProtection="1">
      <alignment horizontal="center" vertical="center" wrapText="1"/>
    </xf>
    <xf numFmtId="2" fontId="5" fillId="0" borderId="6" xfId="1" applyNumberFormat="1" applyFont="1" applyFill="1" applyBorder="1" applyAlignment="1" applyProtection="1">
      <alignment horizontal="center" vertical="center"/>
    </xf>
    <xf numFmtId="2" fontId="5" fillId="0" borderId="6" xfId="1" applyNumberFormat="1" applyFont="1" applyFill="1" applyBorder="1" applyAlignment="1" applyProtection="1">
      <alignment horizontal="center" vertical="center" wrapText="1"/>
    </xf>
    <xf numFmtId="4" fontId="7" fillId="0" borderId="6" xfId="1" applyNumberFormat="1" applyFont="1" applyFill="1" applyBorder="1" applyAlignment="1" applyProtection="1">
      <alignment horizontal="center"/>
    </xf>
    <xf numFmtId="2" fontId="5" fillId="0" borderId="7" xfId="1" applyNumberFormat="1" applyFont="1" applyFill="1" applyBorder="1" applyAlignment="1" applyProtection="1">
      <alignment horizontal="center" vertical="center" wrapText="1"/>
    </xf>
    <xf numFmtId="164" fontId="5" fillId="0" borderId="6" xfId="1" applyFont="1" applyFill="1" applyBorder="1" applyAlignment="1" applyProtection="1">
      <alignment horizontal="center" vertical="center" wrapText="1"/>
    </xf>
    <xf numFmtId="164" fontId="4" fillId="0" borderId="0" xfId="1" applyFont="1" applyFill="1" applyBorder="1" applyAlignment="1" applyProtection="1">
      <alignment vertical="center" wrapText="1"/>
    </xf>
    <xf numFmtId="2" fontId="8" fillId="0" borderId="6" xfId="1" applyNumberFormat="1" applyFont="1" applyFill="1" applyBorder="1" applyAlignment="1" applyProtection="1">
      <alignment horizontal="center"/>
    </xf>
    <xf numFmtId="2" fontId="8" fillId="0" borderId="7" xfId="1" applyNumberFormat="1" applyFont="1" applyFill="1" applyBorder="1" applyAlignment="1" applyProtection="1">
      <alignment horizontal="center"/>
    </xf>
    <xf numFmtId="4" fontId="7" fillId="0" borderId="7" xfId="1" applyNumberFormat="1" applyFont="1" applyFill="1" applyBorder="1" applyAlignment="1" applyProtection="1">
      <alignment horizontal="center"/>
    </xf>
    <xf numFmtId="164" fontId="8" fillId="0" borderId="6" xfId="1" applyFont="1" applyFill="1" applyBorder="1" applyAlignment="1" applyProtection="1"/>
    <xf numFmtId="2" fontId="5" fillId="0" borderId="6" xfId="1" applyNumberFormat="1" applyFont="1" applyFill="1" applyBorder="1" applyAlignment="1" applyProtection="1">
      <alignment horizontal="center"/>
    </xf>
    <xf numFmtId="39" fontId="0" fillId="0" borderId="6" xfId="1" applyNumberFormat="1" applyFont="1" applyFill="1" applyBorder="1" applyAlignment="1" applyProtection="1"/>
    <xf numFmtId="2" fontId="5" fillId="0" borderId="3" xfId="1" applyNumberFormat="1" applyFont="1" applyFill="1" applyBorder="1" applyAlignment="1" applyProtection="1">
      <alignment horizontal="center" vertical="center" wrapText="1"/>
    </xf>
    <xf numFmtId="2" fontId="5" fillId="0" borderId="3" xfId="1" applyNumberFormat="1" applyFont="1" applyFill="1" applyBorder="1" applyAlignment="1" applyProtection="1">
      <alignment horizontal="center" vertical="center"/>
    </xf>
    <xf numFmtId="2" fontId="5" fillId="0" borderId="8" xfId="1" applyNumberFormat="1" applyFont="1" applyFill="1" applyBorder="1" applyAlignment="1" applyProtection="1">
      <alignment horizontal="center" vertical="center" wrapText="1"/>
    </xf>
    <xf numFmtId="164" fontId="7" fillId="0" borderId="3" xfId="1" applyFont="1" applyFill="1" applyBorder="1" applyAlignment="1" applyProtection="1">
      <alignment horizontal="center" vertical="center" wrapText="1"/>
    </xf>
    <xf numFmtId="164" fontId="7" fillId="0" borderId="9" xfId="1" applyFont="1" applyFill="1" applyBorder="1" applyAlignment="1" applyProtection="1">
      <alignment horizontal="left" vertical="center" wrapText="1"/>
    </xf>
    <xf numFmtId="164" fontId="7" fillId="0" borderId="10" xfId="1" applyFont="1" applyFill="1" applyBorder="1" applyAlignment="1" applyProtection="1"/>
    <xf numFmtId="2" fontId="4" fillId="0" borderId="10" xfId="1" applyNumberFormat="1" applyFont="1" applyFill="1" applyBorder="1" applyAlignment="1" applyProtection="1">
      <alignment horizontal="center" vertical="center"/>
    </xf>
    <xf numFmtId="4" fontId="4" fillId="0" borderId="10" xfId="1" applyNumberFormat="1" applyFont="1" applyFill="1" applyBorder="1" applyAlignment="1" applyProtection="1">
      <alignment horizontal="center" vertical="center"/>
    </xf>
    <xf numFmtId="164" fontId="4" fillId="0" borderId="10" xfId="1" applyFont="1" applyFill="1" applyBorder="1" applyAlignment="1" applyProtection="1">
      <alignment horizontal="center" vertical="center" wrapText="1"/>
    </xf>
    <xf numFmtId="164" fontId="12" fillId="0" borderId="0" xfId="1" applyFont="1" applyFill="1" applyBorder="1" applyAlignment="1" applyProtection="1"/>
    <xf numFmtId="2" fontId="13" fillId="0" borderId="3" xfId="1" applyNumberFormat="1" applyFont="1" applyFill="1" applyBorder="1" applyAlignment="1" applyProtection="1">
      <alignment horizontal="center" vertical="center" wrapText="1"/>
    </xf>
    <xf numFmtId="164" fontId="5" fillId="0" borderId="3" xfId="1" applyFont="1" applyFill="1" applyBorder="1" applyAlignment="1" applyProtection="1">
      <alignment horizontal="center" vertical="center" wrapText="1"/>
    </xf>
    <xf numFmtId="164" fontId="14" fillId="0" borderId="10" xfId="1" applyFont="1" applyFill="1" applyBorder="1" applyAlignment="1" applyProtection="1">
      <alignment horizontal="center"/>
    </xf>
    <xf numFmtId="43" fontId="14" fillId="0" borderId="10" xfId="1" applyNumberFormat="1" applyFont="1" applyFill="1" applyBorder="1" applyAlignment="1" applyProtection="1">
      <alignment horizontal="center"/>
    </xf>
    <xf numFmtId="4" fontId="4" fillId="0" borderId="10" xfId="1" applyNumberFormat="1" applyFont="1" applyFill="1" applyBorder="1" applyAlignment="1" applyProtection="1">
      <alignment horizontal="center"/>
    </xf>
    <xf numFmtId="2" fontId="4" fillId="0" borderId="10" xfId="1" applyNumberFormat="1" applyFont="1" applyFill="1" applyBorder="1" applyAlignment="1" applyProtection="1">
      <alignment horizontal="center"/>
    </xf>
    <xf numFmtId="164" fontId="4" fillId="0" borderId="10" xfId="1" applyFont="1" applyFill="1" applyBorder="1" applyAlignment="1" applyProtection="1">
      <alignment horizontal="center" vertical="center" shrinkToFit="1"/>
    </xf>
    <xf numFmtId="164" fontId="4" fillId="0" borderId="4" xfId="1" applyFont="1" applyFill="1" applyBorder="1" applyAlignment="1" applyProtection="1">
      <alignment vertical="center" wrapText="1"/>
    </xf>
    <xf numFmtId="4" fontId="7" fillId="0" borderId="6" xfId="1" applyNumberFormat="1" applyFont="1" applyFill="1" applyBorder="1" applyAlignment="1" applyProtection="1">
      <alignment horizontal="center" vertical="center" wrapText="1"/>
    </xf>
    <xf numFmtId="4" fontId="5" fillId="0" borderId="6" xfId="1" applyNumberFormat="1" applyFont="1" applyFill="1" applyBorder="1" applyAlignment="1" applyProtection="1">
      <alignment horizontal="center" vertical="center"/>
    </xf>
    <xf numFmtId="164" fontId="4" fillId="0" borderId="6" xfId="1" applyFont="1" applyFill="1" applyBorder="1" applyAlignment="1" applyProtection="1">
      <alignment vertical="center" wrapText="1"/>
    </xf>
    <xf numFmtId="2" fontId="7" fillId="0" borderId="3" xfId="1" applyNumberFormat="1" applyFont="1" applyFill="1" applyBorder="1" applyAlignment="1" applyProtection="1">
      <alignment horizontal="center" vertical="center" wrapText="1"/>
    </xf>
    <xf numFmtId="164" fontId="15" fillId="0" borderId="3" xfId="1" applyFont="1" applyFill="1" applyBorder="1" applyAlignment="1" applyProtection="1">
      <alignment horizontal="center" vertical="center" shrinkToFit="1"/>
    </xf>
    <xf numFmtId="164" fontId="7" fillId="0" borderId="3" xfId="1" applyFont="1" applyFill="1" applyBorder="1" applyAlignment="1" applyProtection="1">
      <alignment horizontal="left" vertical="center" wrapText="1"/>
    </xf>
    <xf numFmtId="164" fontId="7" fillId="0" borderId="8" xfId="1" applyFont="1" applyFill="1" applyBorder="1" applyAlignment="1" applyProtection="1">
      <alignment horizontal="left" vertical="center" wrapText="1"/>
    </xf>
    <xf numFmtId="164" fontId="7" fillId="0" borderId="0" xfId="1" applyFont="1" applyFill="1" applyBorder="1" applyAlignment="1" applyProtection="1">
      <alignment horizontal="center" vertical="center" shrinkToFit="1"/>
    </xf>
    <xf numFmtId="164" fontId="17" fillId="0" borderId="3" xfId="1" applyFont="1" applyFill="1" applyBorder="1" applyAlignment="1" applyProtection="1">
      <alignment horizontal="left" vertical="center" wrapText="1"/>
    </xf>
    <xf numFmtId="2" fontId="5" fillId="0" borderId="15" xfId="1" applyNumberFormat="1" applyFont="1" applyFill="1" applyBorder="1" applyAlignment="1" applyProtection="1">
      <alignment horizontal="center" vertical="center" wrapText="1"/>
    </xf>
    <xf numFmtId="165" fontId="7" fillId="0" borderId="3" xfId="1" applyNumberFormat="1" applyFont="1" applyFill="1" applyBorder="1" applyAlignment="1" applyProtection="1">
      <alignment horizontal="left" vertical="center" wrapText="1"/>
    </xf>
    <xf numFmtId="4" fontId="5" fillId="0" borderId="14" xfId="1" applyNumberFormat="1" applyFont="1" applyFill="1" applyBorder="1" applyAlignment="1" applyProtection="1">
      <alignment horizontal="center" vertical="center" wrapText="1"/>
    </xf>
    <xf numFmtId="4" fontId="5" fillId="0" borderId="16" xfId="1" applyNumberFormat="1" applyFont="1" applyFill="1" applyBorder="1" applyAlignment="1" applyProtection="1">
      <alignment horizontal="center" vertical="center" wrapText="1"/>
    </xf>
    <xf numFmtId="2" fontId="7" fillId="0" borderId="16" xfId="1" applyNumberFormat="1" applyFont="1" applyFill="1" applyBorder="1" applyAlignment="1" applyProtection="1">
      <alignment horizontal="center" vertical="center"/>
    </xf>
    <xf numFmtId="2" fontId="7" fillId="0" borderId="16" xfId="1" applyNumberFormat="1" applyFont="1" applyFill="1" applyBorder="1" applyAlignment="1" applyProtection="1">
      <alignment horizontal="center" wrapText="1"/>
    </xf>
    <xf numFmtId="4" fontId="7" fillId="0" borderId="16" xfId="1" applyNumberFormat="1" applyFont="1" applyFill="1" applyBorder="1" applyAlignment="1" applyProtection="1">
      <alignment horizontal="center" vertical="center" wrapText="1"/>
    </xf>
    <xf numFmtId="2" fontId="7" fillId="0" borderId="16" xfId="1" applyNumberFormat="1" applyFont="1" applyFill="1" applyBorder="1" applyAlignment="1" applyProtection="1">
      <alignment horizontal="center" vertical="center" wrapText="1"/>
    </xf>
    <xf numFmtId="164" fontId="18" fillId="0" borderId="16" xfId="1" applyFont="1" applyFill="1" applyBorder="1" applyAlignment="1" applyProtection="1">
      <alignment vertical="center" wrapText="1"/>
    </xf>
    <xf numFmtId="2" fontId="7" fillId="0" borderId="6" xfId="1" applyNumberFormat="1" applyFont="1" applyFill="1" applyBorder="1" applyAlignment="1" applyProtection="1">
      <alignment horizontal="center" vertical="center" wrapText="1"/>
    </xf>
    <xf numFmtId="4" fontId="4" fillId="0" borderId="10" xfId="1" applyNumberFormat="1" applyFont="1" applyFill="1" applyBorder="1" applyAlignment="1" applyProtection="1">
      <alignment horizontal="center" vertical="center" shrinkToFit="1"/>
    </xf>
    <xf numFmtId="2" fontId="5" fillId="0" borderId="16" xfId="1" applyNumberFormat="1" applyFont="1" applyFill="1" applyBorder="1" applyAlignment="1" applyProtection="1">
      <alignment horizontal="center" vertical="center" wrapText="1"/>
    </xf>
    <xf numFmtId="164" fontId="4" fillId="0" borderId="16" xfId="1" applyFont="1" applyFill="1" applyBorder="1" applyAlignment="1" applyProtection="1">
      <alignment vertical="center" wrapText="1"/>
    </xf>
    <xf numFmtId="2" fontId="7" fillId="0" borderId="15" xfId="1" applyNumberFormat="1" applyFont="1" applyFill="1" applyBorder="1" applyAlignment="1" applyProtection="1">
      <alignment horizontal="center"/>
    </xf>
    <xf numFmtId="2" fontId="7" fillId="0" borderId="3" xfId="1" applyNumberFormat="1" applyFont="1" applyFill="1" applyBorder="1" applyAlignment="1" applyProtection="1">
      <alignment horizontal="center"/>
    </xf>
    <xf numFmtId="2" fontId="7" fillId="0" borderId="8" xfId="1" applyNumberFormat="1" applyFont="1" applyFill="1" applyBorder="1" applyAlignment="1" applyProtection="1">
      <alignment horizontal="center"/>
    </xf>
    <xf numFmtId="164" fontId="19" fillId="0" borderId="3" xfId="1" applyFont="1" applyFill="1" applyBorder="1" applyAlignment="1" applyProtection="1">
      <alignment horizontal="center"/>
    </xf>
    <xf numFmtId="164" fontId="7" fillId="0" borderId="10" xfId="1" applyFont="1" applyFill="1" applyBorder="1" applyAlignment="1" applyProtection="1">
      <alignment horizontal="center"/>
    </xf>
    <xf numFmtId="4" fontId="4" fillId="0" borderId="19" xfId="1" applyNumberFormat="1" applyFont="1" applyFill="1" applyBorder="1" applyAlignment="1" applyProtection="1">
      <alignment horizontal="center" vertical="center"/>
    </xf>
    <xf numFmtId="166" fontId="7" fillId="0" borderId="6" xfId="1" applyNumberFormat="1" applyFont="1" applyFill="1" applyBorder="1" applyAlignment="1" applyProtection="1">
      <alignment horizontal="center" vertical="center" shrinkToFit="1"/>
    </xf>
    <xf numFmtId="164" fontId="4" fillId="0" borderId="7" xfId="1" applyFont="1" applyFill="1" applyBorder="1" applyAlignment="1" applyProtection="1">
      <alignment vertical="center" wrapText="1"/>
    </xf>
    <xf numFmtId="2" fontId="4" fillId="0" borderId="6" xfId="1" applyNumberFormat="1" applyFont="1" applyFill="1" applyBorder="1" applyAlignment="1" applyProtection="1">
      <alignment horizontal="center" vertical="center" wrapText="1"/>
    </xf>
    <xf numFmtId="164" fontId="14" fillId="0" borderId="3" xfId="1" applyFont="1" applyFill="1" applyBorder="1" applyAlignment="1" applyProtection="1">
      <alignment horizontal="center"/>
    </xf>
    <xf numFmtId="2" fontId="4" fillId="0" borderId="3" xfId="1" applyNumberFormat="1" applyFont="1" applyFill="1" applyBorder="1" applyAlignment="1" applyProtection="1">
      <alignment horizontal="center" vertical="center" wrapText="1"/>
    </xf>
    <xf numFmtId="164" fontId="7" fillId="0" borderId="16" xfId="1" applyFont="1" applyFill="1" applyBorder="1" applyAlignment="1" applyProtection="1">
      <alignment horizontal="center"/>
    </xf>
    <xf numFmtId="2" fontId="22" fillId="0" borderId="0" xfId="1" applyNumberFormat="1" applyFont="1" applyFill="1" applyBorder="1" applyAlignment="1" applyProtection="1">
      <alignment horizontal="center" vertical="center" wrapText="1"/>
    </xf>
    <xf numFmtId="167" fontId="5" fillId="0" borderId="6" xfId="1" applyNumberFormat="1" applyFont="1" applyFill="1" applyBorder="1" applyAlignment="1" applyProtection="1">
      <alignment horizontal="center" vertical="center" wrapText="1"/>
    </xf>
    <xf numFmtId="4" fontId="17" fillId="0" borderId="0" xfId="1" applyNumberFormat="1" applyFont="1" applyFill="1" applyBorder="1" applyAlignment="1" applyProtection="1">
      <alignment horizontal="center" vertical="center" wrapText="1"/>
    </xf>
    <xf numFmtId="4" fontId="17" fillId="0" borderId="6" xfId="1" applyNumberFormat="1" applyFont="1" applyFill="1" applyBorder="1" applyAlignment="1" applyProtection="1">
      <alignment horizontal="center" vertical="center" wrapText="1"/>
    </xf>
    <xf numFmtId="43" fontId="5" fillId="0" borderId="6" xfId="1" applyNumberFormat="1" applyFont="1" applyFill="1" applyBorder="1" applyAlignment="1" applyProtection="1">
      <alignment horizontal="left" vertical="center"/>
    </xf>
    <xf numFmtId="43" fontId="5" fillId="0" borderId="6" xfId="1" applyNumberFormat="1" applyFont="1" applyFill="1" applyBorder="1" applyAlignment="1" applyProtection="1">
      <alignment horizontal="left" vertical="center" wrapText="1"/>
    </xf>
    <xf numFmtId="43" fontId="22" fillId="0" borderId="0" xfId="1" applyNumberFormat="1" applyFont="1" applyFill="1" applyBorder="1" applyAlignment="1" applyProtection="1">
      <alignment horizontal="left" vertical="center" wrapText="1"/>
    </xf>
    <xf numFmtId="164" fontId="5" fillId="0" borderId="0" xfId="1" applyFont="1" applyFill="1" applyBorder="1" applyAlignment="1" applyProtection="1">
      <alignment horizontal="center" vertical="center" wrapText="1"/>
    </xf>
    <xf numFmtId="164" fontId="4" fillId="0" borderId="6" xfId="1" applyFont="1" applyFill="1" applyBorder="1" applyAlignment="1" applyProtection="1">
      <alignment horizontal="left" vertical="center" wrapText="1"/>
    </xf>
    <xf numFmtId="1" fontId="4" fillId="0" borderId="3" xfId="1" applyNumberFormat="1" applyFont="1" applyFill="1" applyBorder="1" applyAlignment="1" applyProtection="1">
      <alignment horizontal="center" vertical="center" wrapText="1"/>
    </xf>
    <xf numFmtId="1" fontId="23" fillId="0" borderId="0" xfId="1" applyNumberFormat="1" applyFont="1" applyFill="1" applyBorder="1" applyAlignment="1" applyProtection="1">
      <alignment horizontal="left" vertical="top" wrapText="1"/>
    </xf>
    <xf numFmtId="49" fontId="4" fillId="0" borderId="0" xfId="1" applyNumberFormat="1" applyFont="1" applyFill="1" applyBorder="1" applyAlignment="1" applyProtection="1">
      <alignment horizontal="center" vertical="center" wrapText="1"/>
    </xf>
    <xf numFmtId="0" fontId="7" fillId="0" borderId="10" xfId="1" applyNumberFormat="1" applyFont="1" applyFill="1" applyBorder="1" applyAlignment="1" applyProtection="1">
      <alignment horizontal="center" vertical="center"/>
    </xf>
    <xf numFmtId="1" fontId="7" fillId="0" borderId="10" xfId="1" applyNumberFormat="1" applyFont="1" applyFill="1" applyBorder="1" applyAlignment="1" applyProtection="1">
      <alignment horizontal="center" vertical="center" wrapText="1"/>
    </xf>
    <xf numFmtId="49" fontId="7" fillId="0" borderId="10" xfId="1" applyNumberFormat="1" applyFont="1" applyFill="1" applyBorder="1" applyAlignment="1" applyProtection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39" fontId="4" fillId="0" borderId="10" xfId="1" applyNumberFormat="1" applyFont="1" applyFill="1" applyBorder="1" applyAlignment="1" applyProtection="1">
      <alignment horizontal="center" vertical="center" wrapText="1"/>
    </xf>
    <xf numFmtId="164" fontId="4" fillId="0" borderId="0" xfId="1" applyFont="1" applyFill="1" applyBorder="1" applyAlignment="1" applyProtection="1">
      <alignment horizontal="center" vertical="center"/>
    </xf>
    <xf numFmtId="39" fontId="4" fillId="0" borderId="5" xfId="1" applyNumberFormat="1" applyFont="1" applyFill="1" applyBorder="1" applyAlignment="1" applyProtection="1">
      <alignment vertical="center"/>
    </xf>
    <xf numFmtId="39" fontId="24" fillId="0" borderId="5" xfId="1" applyNumberFormat="1" applyFont="1" applyFill="1" applyBorder="1" applyAlignment="1" applyProtection="1">
      <alignment vertical="center"/>
    </xf>
    <xf numFmtId="164" fontId="25" fillId="0" borderId="0" xfId="1" applyFont="1" applyFill="1" applyBorder="1" applyAlignment="1" applyProtection="1">
      <alignment vertical="center"/>
    </xf>
    <xf numFmtId="164" fontId="4" fillId="0" borderId="10" xfId="1" applyFont="1" applyFill="1" applyBorder="1" applyAlignment="1" applyProtection="1">
      <alignment horizontal="center" vertical="center" wrapText="1"/>
    </xf>
    <xf numFmtId="164" fontId="7" fillId="0" borderId="15" xfId="1" applyFont="1" applyFill="1" applyBorder="1" applyAlignment="1" applyProtection="1">
      <alignment horizontal="left" vertical="center" wrapText="1"/>
    </xf>
    <xf numFmtId="164" fontId="4" fillId="0" borderId="14" xfId="1" applyFont="1" applyFill="1" applyBorder="1" applyAlignment="1" applyProtection="1">
      <alignment horizontal="left" vertical="center" wrapText="1"/>
    </xf>
    <xf numFmtId="164" fontId="7" fillId="0" borderId="6" xfId="1" applyFont="1" applyFill="1" applyBorder="1" applyAlignment="1" applyProtection="1">
      <alignment horizontal="center" vertical="center"/>
    </xf>
    <xf numFmtId="164" fontId="4" fillId="0" borderId="10" xfId="1" applyFont="1" applyFill="1" applyBorder="1" applyAlignment="1" applyProtection="1">
      <alignment horizontal="center" vertical="center" wrapText="1"/>
    </xf>
    <xf numFmtId="4" fontId="4" fillId="0" borderId="14" xfId="1" applyNumberFormat="1" applyFont="1" applyFill="1" applyBorder="1" applyAlignment="1" applyProtection="1">
      <alignment horizontal="center" vertical="center"/>
    </xf>
    <xf numFmtId="2" fontId="4" fillId="0" borderId="14" xfId="1" applyNumberFormat="1" applyFont="1" applyFill="1" applyBorder="1" applyAlignment="1" applyProtection="1">
      <alignment horizontal="center" vertical="center"/>
    </xf>
    <xf numFmtId="2" fontId="4" fillId="0" borderId="3" xfId="1" applyNumberFormat="1" applyFont="1" applyFill="1" applyBorder="1" applyAlignment="1" applyProtection="1">
      <alignment horizontal="center"/>
    </xf>
    <xf numFmtId="4" fontId="7" fillId="0" borderId="14" xfId="1" applyNumberFormat="1" applyFont="1" applyFill="1" applyBorder="1" applyAlignment="1" applyProtection="1">
      <alignment horizontal="center"/>
    </xf>
    <xf numFmtId="2" fontId="4" fillId="0" borderId="14" xfId="1" applyNumberFormat="1" applyFont="1" applyFill="1" applyBorder="1" applyAlignment="1" applyProtection="1">
      <alignment horizontal="center"/>
    </xf>
    <xf numFmtId="4" fontId="5" fillId="0" borderId="8" xfId="1" applyNumberFormat="1" applyFont="1" applyFill="1" applyBorder="1" applyAlignment="1" applyProtection="1">
      <alignment horizontal="center" vertical="center" wrapText="1"/>
    </xf>
    <xf numFmtId="4" fontId="7" fillId="0" borderId="14" xfId="1" applyNumberFormat="1" applyFont="1" applyFill="1" applyBorder="1" applyAlignment="1" applyProtection="1">
      <alignment horizontal="center" vertical="center"/>
    </xf>
    <xf numFmtId="164" fontId="7" fillId="0" borderId="6" xfId="1" applyFont="1" applyFill="1" applyBorder="1" applyAlignment="1" applyProtection="1">
      <alignment horizontal="center" vertical="center" shrinkToFit="1"/>
    </xf>
    <xf numFmtId="164" fontId="7" fillId="0" borderId="4" xfId="1" applyFont="1" applyFill="1" applyBorder="1" applyAlignment="1" applyProtection="1">
      <alignment horizontal="center" vertical="center" shrinkToFit="1"/>
    </xf>
    <xf numFmtId="164" fontId="7" fillId="0" borderId="3" xfId="1" applyFont="1" applyFill="1" applyBorder="1" applyAlignment="1" applyProtection="1">
      <alignment horizontal="center" vertical="center" shrinkToFit="1"/>
    </xf>
    <xf numFmtId="2" fontId="7" fillId="0" borderId="16" xfId="1" applyNumberFormat="1" applyFont="1" applyFill="1" applyBorder="1" applyAlignment="1" applyProtection="1">
      <alignment horizontal="center"/>
    </xf>
    <xf numFmtId="4" fontId="7" fillId="0" borderId="16" xfId="1" applyNumberFormat="1" applyFont="1" applyFill="1" applyBorder="1" applyAlignment="1" applyProtection="1">
      <alignment horizontal="center"/>
    </xf>
    <xf numFmtId="164" fontId="4" fillId="0" borderId="4" xfId="1" applyFont="1" applyFill="1" applyBorder="1" applyAlignment="1" applyProtection="1">
      <alignment horizontal="center" vertical="center" wrapText="1"/>
    </xf>
    <xf numFmtId="164" fontId="4" fillId="0" borderId="4" xfId="1" applyFont="1" applyFill="1" applyBorder="1" applyAlignment="1" applyProtection="1">
      <alignment horizontal="center" vertical="center" shrinkToFit="1"/>
    </xf>
    <xf numFmtId="43" fontId="14" fillId="0" borderId="4" xfId="1" applyNumberFormat="1" applyFont="1" applyFill="1" applyBorder="1" applyAlignment="1" applyProtection="1">
      <alignment horizontal="center"/>
    </xf>
    <xf numFmtId="2" fontId="8" fillId="0" borderId="4" xfId="1" applyNumberFormat="1" applyFont="1" applyFill="1" applyBorder="1" applyAlignment="1" applyProtection="1">
      <alignment horizontal="center"/>
    </xf>
    <xf numFmtId="1" fontId="5" fillId="0" borderId="4" xfId="1" applyNumberFormat="1" applyFont="1" applyFill="1" applyBorder="1" applyAlignment="1" applyProtection="1">
      <alignment horizontal="center" vertical="center" wrapText="1"/>
    </xf>
    <xf numFmtId="164" fontId="7" fillId="0" borderId="6" xfId="1" applyFont="1" applyFill="1" applyBorder="1" applyAlignment="1" applyProtection="1">
      <alignment horizontal="center" vertical="center" shrinkToFit="1"/>
    </xf>
    <xf numFmtId="2" fontId="7" fillId="0" borderId="3" xfId="1" applyNumberFormat="1" applyFont="1" applyFill="1" applyBorder="1" applyAlignment="1" applyProtection="1">
      <alignment horizontal="center" vertical="center"/>
    </xf>
    <xf numFmtId="4" fontId="7" fillId="0" borderId="3" xfId="1" applyNumberFormat="1" applyFont="1" applyFill="1" applyBorder="1" applyAlignment="1" applyProtection="1">
      <alignment horizontal="center" vertical="center"/>
    </xf>
    <xf numFmtId="164" fontId="7" fillId="0" borderId="16" xfId="1" applyFont="1" applyFill="1" applyBorder="1" applyAlignment="1" applyProtection="1">
      <alignment horizontal="center" vertical="center" shrinkToFit="1"/>
    </xf>
    <xf numFmtId="4" fontId="7" fillId="0" borderId="16" xfId="1" applyNumberFormat="1" applyFont="1" applyFill="1" applyBorder="1" applyAlignment="1" applyProtection="1">
      <alignment horizontal="center" vertical="center"/>
    </xf>
    <xf numFmtId="2" fontId="7" fillId="0" borderId="6" xfId="1" applyNumberFormat="1" applyFont="1" applyFill="1" applyBorder="1" applyAlignment="1" applyProtection="1">
      <alignment horizontal="center"/>
    </xf>
    <xf numFmtId="2" fontId="7" fillId="0" borderId="6" xfId="1" applyNumberFormat="1" applyFont="1" applyFill="1" applyBorder="1" applyAlignment="1" applyProtection="1">
      <alignment horizontal="center" vertical="center"/>
    </xf>
    <xf numFmtId="4" fontId="7" fillId="0" borderId="6" xfId="1" applyNumberFormat="1" applyFont="1" applyFill="1" applyBorder="1" applyAlignment="1" applyProtection="1">
      <alignment horizontal="center" vertical="center"/>
    </xf>
    <xf numFmtId="164" fontId="7" fillId="0" borderId="16" xfId="1" applyFont="1" applyFill="1" applyBorder="1" applyAlignment="1" applyProtection="1">
      <alignment horizontal="left" vertical="center" wrapText="1"/>
    </xf>
    <xf numFmtId="164" fontId="7" fillId="0" borderId="6" xfId="1" applyFont="1" applyFill="1" applyBorder="1" applyAlignment="1" applyProtection="1">
      <alignment horizontal="left" vertical="center" wrapText="1"/>
    </xf>
    <xf numFmtId="164" fontId="7" fillId="0" borderId="10" xfId="1" applyFont="1" applyFill="1" applyBorder="1" applyAlignment="1" applyProtection="1">
      <alignment horizontal="center" vertical="center"/>
    </xf>
    <xf numFmtId="164" fontId="7" fillId="0" borderId="6" xfId="1" applyFont="1" applyFill="1" applyBorder="1" applyAlignment="1" applyProtection="1">
      <alignment horizontal="center" vertical="center"/>
    </xf>
    <xf numFmtId="4" fontId="7" fillId="0" borderId="16" xfId="1" applyNumberFormat="1" applyFont="1" applyFill="1" applyBorder="1" applyAlignment="1" applyProtection="1">
      <alignment horizontal="center" wrapText="1"/>
    </xf>
    <xf numFmtId="4" fontId="5" fillId="0" borderId="6" xfId="1" applyNumberFormat="1" applyFont="1" applyFill="1" applyBorder="1" applyAlignment="1" applyProtection="1">
      <alignment horizontal="center" vertical="center" wrapText="1"/>
    </xf>
    <xf numFmtId="164" fontId="7" fillId="0" borderId="6" xfId="1" applyFont="1" applyFill="1" applyBorder="1" applyAlignment="1" applyProtection="1">
      <alignment horizontal="center" vertical="center"/>
    </xf>
    <xf numFmtId="164" fontId="7" fillId="0" borderId="4" xfId="1" applyFont="1" applyFill="1" applyBorder="1" applyAlignment="1" applyProtection="1">
      <alignment horizontal="center" vertical="center" wrapText="1"/>
    </xf>
    <xf numFmtId="164" fontId="7" fillId="0" borderId="6" xfId="1" applyFont="1" applyFill="1" applyBorder="1" applyAlignment="1" applyProtection="1">
      <alignment horizontal="center"/>
    </xf>
    <xf numFmtId="164" fontId="7" fillId="0" borderId="4" xfId="1" applyFont="1" applyFill="1" applyBorder="1" applyAlignment="1" applyProtection="1">
      <alignment horizontal="center" vertical="center" wrapText="1"/>
    </xf>
    <xf numFmtId="0" fontId="7" fillId="0" borderId="4" xfId="1" applyNumberFormat="1" applyFont="1" applyFill="1" applyBorder="1" applyAlignment="1" applyProtection="1">
      <alignment horizontal="center" vertical="center"/>
    </xf>
    <xf numFmtId="4" fontId="4" fillId="0" borderId="4" xfId="1" applyNumberFormat="1" applyFont="1" applyFill="1" applyBorder="1" applyAlignment="1" applyProtection="1">
      <alignment horizontal="center" vertical="center"/>
    </xf>
    <xf numFmtId="2" fontId="4" fillId="0" borderId="4" xfId="1" applyNumberFormat="1" applyFont="1" applyFill="1" applyBorder="1" applyAlignment="1" applyProtection="1">
      <alignment horizontal="center" vertical="center"/>
    </xf>
    <xf numFmtId="164" fontId="7" fillId="0" borderId="4" xfId="1" applyFont="1" applyFill="1" applyBorder="1" applyAlignment="1" applyProtection="1"/>
    <xf numFmtId="164" fontId="4" fillId="0" borderId="14" xfId="1" applyFont="1" applyFill="1" applyBorder="1" applyAlignment="1" applyProtection="1">
      <alignment vertical="center" wrapText="1"/>
    </xf>
    <xf numFmtId="164" fontId="5" fillId="0" borderId="14" xfId="1" applyFont="1" applyFill="1" applyBorder="1" applyAlignment="1" applyProtection="1">
      <alignment horizontal="center" vertical="center" wrapText="1"/>
    </xf>
    <xf numFmtId="2" fontId="5" fillId="0" borderId="14" xfId="1" applyNumberFormat="1" applyFont="1" applyFill="1" applyBorder="1" applyAlignment="1" applyProtection="1">
      <alignment horizontal="center" vertical="center" wrapText="1"/>
    </xf>
    <xf numFmtId="2" fontId="5" fillId="0" borderId="14" xfId="1" applyNumberFormat="1" applyFont="1" applyFill="1" applyBorder="1" applyAlignment="1" applyProtection="1">
      <alignment horizontal="center" vertical="center"/>
    </xf>
    <xf numFmtId="164" fontId="4" fillId="0" borderId="6" xfId="1" applyFont="1" applyFill="1" applyBorder="1" applyAlignment="1" applyProtection="1">
      <alignment horizontal="center" vertical="center" wrapText="1"/>
    </xf>
    <xf numFmtId="164" fontId="11" fillId="0" borderId="6" xfId="1" applyFont="1" applyFill="1" applyBorder="1" applyAlignment="1" applyProtection="1">
      <alignment horizontal="center" vertical="center"/>
    </xf>
    <xf numFmtId="4" fontId="4" fillId="0" borderId="6" xfId="1" applyNumberFormat="1" applyFont="1" applyFill="1" applyBorder="1" applyAlignment="1" applyProtection="1">
      <alignment horizontal="center" vertical="center"/>
    </xf>
    <xf numFmtId="164" fontId="7" fillId="0" borderId="6" xfId="1" applyFont="1" applyFill="1" applyBorder="1" applyAlignment="1" applyProtection="1"/>
    <xf numFmtId="4" fontId="5" fillId="0" borderId="14" xfId="1" applyNumberFormat="1" applyFont="1" applyFill="1" applyBorder="1" applyAlignment="1" applyProtection="1">
      <alignment horizontal="center" vertical="center"/>
    </xf>
    <xf numFmtId="164" fontId="7" fillId="0" borderId="14" xfId="1" applyFont="1" applyFill="1" applyBorder="1" applyAlignment="1" applyProtection="1">
      <alignment horizontal="center" vertical="center" shrinkToFit="1"/>
    </xf>
    <xf numFmtId="2" fontId="22" fillId="0" borderId="14" xfId="1" applyNumberFormat="1" applyFont="1" applyFill="1" applyBorder="1" applyAlignment="1" applyProtection="1">
      <alignment horizontal="center" vertical="center" wrapText="1"/>
    </xf>
    <xf numFmtId="4" fontId="17" fillId="0" borderId="14" xfId="1" applyNumberFormat="1" applyFont="1" applyFill="1" applyBorder="1" applyAlignment="1" applyProtection="1">
      <alignment horizontal="center" vertical="center" wrapText="1"/>
    </xf>
    <xf numFmtId="167" fontId="5" fillId="0" borderId="14" xfId="1" applyNumberFormat="1" applyFont="1" applyFill="1" applyBorder="1" applyAlignment="1" applyProtection="1">
      <alignment horizontal="center" vertical="center" wrapText="1"/>
    </xf>
    <xf numFmtId="164" fontId="7" fillId="0" borderId="14" xfId="1" applyFont="1" applyFill="1" applyBorder="1" applyAlignment="1" applyProtection="1">
      <alignment horizontal="center" vertical="center" wrapText="1"/>
    </xf>
    <xf numFmtId="164" fontId="7" fillId="0" borderId="14" xfId="1" applyFont="1" applyFill="1" applyBorder="1" applyAlignment="1" applyProtection="1">
      <alignment horizontal="center" vertical="center"/>
    </xf>
    <xf numFmtId="4" fontId="4" fillId="0" borderId="4" xfId="1" applyNumberFormat="1" applyFont="1" applyFill="1" applyBorder="1" applyAlignment="1" applyProtection="1">
      <alignment horizontal="center" vertical="center" wrapText="1"/>
    </xf>
    <xf numFmtId="164" fontId="7" fillId="0" borderId="6" xfId="1" applyFont="1" applyFill="1" applyBorder="1" applyAlignment="1" applyProtection="1">
      <alignment horizontal="center" vertical="center"/>
    </xf>
    <xf numFmtId="2" fontId="4" fillId="0" borderId="10" xfId="1" applyNumberFormat="1" applyFont="1" applyFill="1" applyBorder="1" applyAlignment="1" applyProtection="1">
      <alignment horizontal="center" vertical="center" shrinkToFit="1"/>
    </xf>
    <xf numFmtId="2" fontId="4" fillId="0" borderId="4" xfId="1" applyNumberFormat="1" applyFont="1" applyFill="1" applyBorder="1" applyAlignment="1" applyProtection="1">
      <alignment horizontal="center" vertical="center" shrinkToFit="1"/>
    </xf>
    <xf numFmtId="4" fontId="5" fillId="0" borderId="6" xfId="1" applyNumberFormat="1" applyFont="1" applyFill="1" applyBorder="1" applyAlignment="1" applyProtection="1">
      <alignment horizontal="center" vertical="center" wrapText="1"/>
    </xf>
    <xf numFmtId="164" fontId="25" fillId="0" borderId="0" xfId="1" applyFont="1" applyFill="1" applyBorder="1" applyAlignment="1" applyProtection="1">
      <alignment vertical="center"/>
    </xf>
    <xf numFmtId="39" fontId="4" fillId="0" borderId="0" xfId="1" applyNumberFormat="1" applyFont="1" applyFill="1" applyBorder="1" applyAlignment="1" applyProtection="1">
      <alignment vertical="center"/>
    </xf>
    <xf numFmtId="164" fontId="0" fillId="0" borderId="0" xfId="1" applyFont="1" applyFill="1" applyBorder="1" applyAlignment="1" applyProtection="1">
      <alignment vertical="center"/>
    </xf>
    <xf numFmtId="43" fontId="7" fillId="0" borderId="3" xfId="1" applyNumberFormat="1" applyFont="1" applyFill="1" applyBorder="1" applyAlignment="1" applyProtection="1">
      <alignment horizontal="center" vertical="center"/>
    </xf>
    <xf numFmtId="43" fontId="7" fillId="0" borderId="4" xfId="1" applyNumberFormat="1" applyFont="1" applyFill="1" applyBorder="1" applyAlignment="1" applyProtection="1">
      <alignment horizontal="center" vertical="center"/>
    </xf>
    <xf numFmtId="164" fontId="7" fillId="0" borderId="3" xfId="1" applyFont="1" applyFill="1" applyBorder="1" applyAlignment="1" applyProtection="1">
      <alignment horizontal="center" vertical="center"/>
    </xf>
    <xf numFmtId="164" fontId="7" fillId="0" borderId="6" xfId="1" applyFont="1" applyFill="1" applyBorder="1" applyAlignment="1" applyProtection="1">
      <alignment horizontal="center" vertical="center"/>
    </xf>
    <xf numFmtId="164" fontId="7" fillId="0" borderId="4" xfId="1" applyFont="1" applyFill="1" applyBorder="1" applyAlignment="1" applyProtection="1">
      <alignment horizontal="center" vertical="center"/>
    </xf>
    <xf numFmtId="43" fontId="7" fillId="0" borderId="6" xfId="1" applyNumberFormat="1" applyFont="1" applyFill="1" applyBorder="1" applyAlignment="1" applyProtection="1">
      <alignment horizontal="center" vertical="center"/>
    </xf>
    <xf numFmtId="164" fontId="7" fillId="0" borderId="3" xfId="1" applyFont="1" applyFill="1" applyBorder="1" applyAlignment="1" applyProtection="1">
      <alignment horizontal="center"/>
    </xf>
    <xf numFmtId="164" fontId="7" fillId="0" borderId="6" xfId="1" applyFont="1" applyFill="1" applyBorder="1" applyAlignment="1" applyProtection="1">
      <alignment horizontal="center"/>
    </xf>
    <xf numFmtId="164" fontId="7" fillId="0" borderId="4" xfId="1" applyFont="1" applyFill="1" applyBorder="1" applyAlignment="1" applyProtection="1">
      <alignment horizontal="center"/>
    </xf>
    <xf numFmtId="164" fontId="7" fillId="0" borderId="6" xfId="1" applyFont="1" applyFill="1" applyBorder="1" applyAlignment="1" applyProtection="1">
      <alignment horizontal="center" vertical="center"/>
    </xf>
    <xf numFmtId="164" fontId="7" fillId="0" borderId="6" xfId="1" applyFont="1" applyFill="1" applyBorder="1" applyAlignment="1" applyProtection="1">
      <alignment horizontal="center" vertical="center"/>
    </xf>
    <xf numFmtId="1" fontId="5" fillId="0" borderId="4" xfId="1" applyNumberFormat="1" applyFont="1" applyFill="1" applyBorder="1" applyAlignment="1" applyProtection="1">
      <alignment horizontal="center" vertical="center" wrapText="1"/>
    </xf>
    <xf numFmtId="164" fontId="4" fillId="0" borderId="10" xfId="1" applyFont="1" applyFill="1" applyBorder="1" applyAlignment="1" applyProtection="1">
      <alignment horizontal="center" vertical="center"/>
    </xf>
    <xf numFmtId="164" fontId="4" fillId="0" borderId="0" xfId="1" applyFont="1" applyFill="1" applyBorder="1" applyAlignment="1" applyProtection="1">
      <alignment wrapText="1"/>
    </xf>
    <xf numFmtId="164" fontId="7" fillId="0" borderId="7" xfId="1" applyFont="1" applyFill="1" applyBorder="1" applyAlignment="1" applyProtection="1">
      <alignment horizontal="center" vertical="center"/>
    </xf>
    <xf numFmtId="164" fontId="15" fillId="0" borderId="7" xfId="1" applyFont="1" applyFill="1" applyBorder="1" applyAlignment="1" applyProtection="1">
      <alignment horizontal="center"/>
    </xf>
    <xf numFmtId="4" fontId="5" fillId="0" borderId="7" xfId="1" applyNumberFormat="1" applyFont="1" applyFill="1" applyBorder="1" applyAlignment="1" applyProtection="1">
      <alignment horizontal="center" vertical="center" wrapText="1"/>
    </xf>
    <xf numFmtId="164" fontId="7" fillId="0" borderId="7" xfId="1" applyFont="1" applyFill="1" applyBorder="1" applyAlignment="1" applyProtection="1">
      <alignment horizontal="center"/>
    </xf>
    <xf numFmtId="164" fontId="4" fillId="0" borderId="20" xfId="1" applyFont="1" applyFill="1" applyBorder="1" applyAlignment="1" applyProtection="1">
      <alignment horizontal="center" vertical="center" wrapText="1"/>
    </xf>
    <xf numFmtId="164" fontId="4" fillId="0" borderId="7" xfId="1" applyFont="1" applyFill="1" applyBorder="1" applyAlignment="1" applyProtection="1">
      <alignment horizontal="left" vertical="center"/>
    </xf>
    <xf numFmtId="164" fontId="7" fillId="0" borderId="14" xfId="1" applyFont="1" applyFill="1" applyBorder="1" applyAlignment="1" applyProtection="1">
      <alignment horizontal="center"/>
    </xf>
    <xf numFmtId="164" fontId="7" fillId="0" borderId="15" xfId="1" applyFont="1" applyFill="1" applyBorder="1" applyAlignment="1" applyProtection="1">
      <alignment horizontal="center"/>
    </xf>
    <xf numFmtId="4" fontId="7" fillId="0" borderId="15" xfId="1" applyNumberFormat="1" applyFont="1" applyFill="1" applyBorder="1" applyAlignment="1" applyProtection="1">
      <alignment horizontal="center" vertical="center"/>
    </xf>
    <xf numFmtId="164" fontId="7" fillId="0" borderId="15" xfId="1" applyFont="1" applyFill="1" applyBorder="1" applyAlignment="1" applyProtection="1">
      <alignment horizontal="center" vertical="center"/>
    </xf>
    <xf numFmtId="164" fontId="7" fillId="0" borderId="21" xfId="1" applyFont="1" applyFill="1" applyBorder="1" applyAlignment="1" applyProtection="1">
      <alignment horizontal="center"/>
    </xf>
    <xf numFmtId="4" fontId="4" fillId="0" borderId="21" xfId="1" applyNumberFormat="1" applyFont="1" applyFill="1" applyBorder="1" applyAlignment="1" applyProtection="1">
      <alignment horizontal="center" vertical="center"/>
    </xf>
    <xf numFmtId="164" fontId="4" fillId="0" borderId="21" xfId="1" applyFont="1" applyFill="1" applyBorder="1" applyAlignment="1" applyProtection="1">
      <alignment horizontal="center" vertical="center"/>
    </xf>
    <xf numFmtId="164" fontId="4" fillId="0" borderId="21" xfId="1" applyFont="1" applyFill="1" applyBorder="1" applyAlignment="1" applyProtection="1">
      <alignment horizontal="center" vertical="center" wrapText="1"/>
    </xf>
    <xf numFmtId="4" fontId="7" fillId="0" borderId="4" xfId="1" applyNumberFormat="1" applyFont="1" applyFill="1" applyBorder="1" applyAlignment="1" applyProtection="1">
      <alignment horizontal="center" vertical="center"/>
    </xf>
    <xf numFmtId="4" fontId="7" fillId="2" borderId="7" xfId="1" applyNumberFormat="1" applyFont="1" applyFill="1" applyBorder="1" applyAlignment="1" applyProtection="1">
      <alignment horizontal="center"/>
    </xf>
    <xf numFmtId="4" fontId="5" fillId="2" borderId="16" xfId="1" applyNumberFormat="1" applyFont="1" applyFill="1" applyBorder="1" applyAlignment="1" applyProtection="1">
      <alignment horizontal="center" vertical="center" wrapText="1"/>
    </xf>
    <xf numFmtId="1" fontId="5" fillId="0" borderId="4" xfId="1" applyNumberFormat="1" applyFont="1" applyFill="1" applyBorder="1" applyAlignment="1" applyProtection="1">
      <alignment horizontal="center" vertical="center" wrapText="1"/>
    </xf>
    <xf numFmtId="164" fontId="4" fillId="0" borderId="10" xfId="1" applyFont="1" applyFill="1" applyBorder="1" applyAlignment="1" applyProtection="1">
      <alignment horizontal="center" vertical="center" wrapText="1"/>
    </xf>
    <xf numFmtId="164" fontId="4" fillId="0" borderId="10" xfId="1" applyFont="1" applyFill="1" applyBorder="1" applyAlignment="1" applyProtection="1">
      <alignment horizontal="center" vertical="center"/>
    </xf>
    <xf numFmtId="1" fontId="5" fillId="0" borderId="3" xfId="1" applyNumberFormat="1" applyFont="1" applyFill="1" applyBorder="1" applyAlignment="1" applyProtection="1">
      <alignment horizontal="center" vertical="center" wrapText="1"/>
    </xf>
    <xf numFmtId="1" fontId="5" fillId="0" borderId="6" xfId="1" applyNumberFormat="1" applyFont="1" applyFill="1" applyBorder="1" applyAlignment="1" applyProtection="1">
      <alignment horizontal="center" vertical="center" wrapText="1"/>
    </xf>
    <xf numFmtId="164" fontId="7" fillId="0" borderId="8" xfId="1" applyFont="1" applyFill="1" applyBorder="1" applyAlignment="1" applyProtection="1"/>
    <xf numFmtId="164" fontId="7" fillId="0" borderId="8" xfId="1" applyFont="1" applyFill="1" applyBorder="1" applyAlignment="1" applyProtection="1">
      <alignment horizontal="center"/>
    </xf>
    <xf numFmtId="164" fontId="7" fillId="0" borderId="22" xfId="1" applyFont="1" applyFill="1" applyBorder="1" applyAlignment="1" applyProtection="1">
      <alignment horizontal="center"/>
    </xf>
    <xf numFmtId="4" fontId="4" fillId="0" borderId="8" xfId="1" applyNumberFormat="1" applyFont="1" applyFill="1" applyBorder="1" applyAlignment="1" applyProtection="1">
      <alignment horizontal="center" vertical="center"/>
    </xf>
    <xf numFmtId="4" fontId="4" fillId="0" borderId="7" xfId="1" applyNumberFormat="1" applyFont="1" applyFill="1" applyBorder="1" applyAlignment="1" applyProtection="1">
      <alignment horizontal="center" vertical="center"/>
    </xf>
    <xf numFmtId="4" fontId="4" fillId="0" borderId="22" xfId="1" applyNumberFormat="1" applyFont="1" applyFill="1" applyBorder="1" applyAlignment="1" applyProtection="1">
      <alignment horizontal="center" vertical="center"/>
    </xf>
    <xf numFmtId="164" fontId="4" fillId="0" borderId="8" xfId="1" applyFont="1" applyFill="1" applyBorder="1" applyAlignment="1" applyProtection="1">
      <alignment horizontal="center" vertical="center"/>
    </xf>
    <xf numFmtId="164" fontId="4" fillId="0" borderId="7" xfId="1" applyFont="1" applyFill="1" applyBorder="1" applyAlignment="1" applyProtection="1">
      <alignment horizontal="center" vertical="center"/>
    </xf>
    <xf numFmtId="164" fontId="4" fillId="0" borderId="22" xfId="1" applyFont="1" applyFill="1" applyBorder="1" applyAlignment="1" applyProtection="1">
      <alignment horizontal="center" vertical="center"/>
    </xf>
    <xf numFmtId="164" fontId="4" fillId="0" borderId="4" xfId="1" applyFont="1" applyFill="1" applyBorder="1" applyAlignment="1" applyProtection="1">
      <alignment horizontal="left" vertical="center" wrapText="1"/>
    </xf>
    <xf numFmtId="4" fontId="7" fillId="0" borderId="7" xfId="1" applyNumberFormat="1" applyFont="1" applyFill="1" applyBorder="1" applyAlignment="1" applyProtection="1">
      <alignment horizontal="center" vertical="center"/>
    </xf>
    <xf numFmtId="4" fontId="7" fillId="0" borderId="22" xfId="1" applyNumberFormat="1" applyFont="1" applyFill="1" applyBorder="1" applyAlignment="1" applyProtection="1">
      <alignment horizontal="center" vertical="center"/>
    </xf>
    <xf numFmtId="1" fontId="5" fillId="0" borderId="23" xfId="1" applyNumberFormat="1" applyFont="1" applyFill="1" applyBorder="1" applyAlignment="1" applyProtection="1">
      <alignment horizontal="center" vertical="center" wrapText="1"/>
    </xf>
    <xf numFmtId="164" fontId="4" fillId="0" borderId="10" xfId="1" applyFont="1" applyFill="1" applyBorder="1" applyAlignment="1" applyProtection="1">
      <alignment horizontal="center"/>
    </xf>
    <xf numFmtId="43" fontId="4" fillId="0" borderId="10" xfId="1" applyNumberFormat="1" applyFont="1" applyFill="1" applyBorder="1" applyAlignment="1" applyProtection="1">
      <alignment horizontal="center"/>
    </xf>
    <xf numFmtId="164" fontId="7" fillId="0" borderId="3" xfId="1" applyFont="1" applyFill="1" applyBorder="1" applyAlignment="1" applyProtection="1">
      <alignment horizontal="center" vertical="center"/>
    </xf>
    <xf numFmtId="4" fontId="7" fillId="2" borderId="7" xfId="1" applyNumberFormat="1" applyFont="1" applyFill="1" applyBorder="1" applyAlignment="1" applyProtection="1">
      <alignment horizontal="center" vertical="center"/>
    </xf>
    <xf numFmtId="4" fontId="7" fillId="2" borderId="22" xfId="1" applyNumberFormat="1" applyFont="1" applyFill="1" applyBorder="1" applyAlignment="1" applyProtection="1">
      <alignment horizontal="center" vertical="center"/>
    </xf>
    <xf numFmtId="167" fontId="5" fillId="2" borderId="6" xfId="1" applyNumberFormat="1" applyFont="1" applyFill="1" applyBorder="1" applyAlignment="1" applyProtection="1">
      <alignment horizontal="center" vertical="center" wrapText="1"/>
    </xf>
    <xf numFmtId="164" fontId="21" fillId="2" borderId="3" xfId="1" applyFont="1" applyFill="1" applyBorder="1" applyAlignment="1" applyProtection="1">
      <alignment horizontal="left" vertical="center" shrinkToFit="1"/>
    </xf>
    <xf numFmtId="166" fontId="7" fillId="2" borderId="6" xfId="1" applyNumberFormat="1" applyFont="1" applyFill="1" applyBorder="1" applyAlignment="1" applyProtection="1">
      <alignment horizontal="center" vertical="center" shrinkToFit="1"/>
    </xf>
    <xf numFmtId="4" fontId="7" fillId="2" borderId="6" xfId="1" applyNumberFormat="1" applyFont="1" applyFill="1" applyBorder="1" applyAlignment="1" applyProtection="1">
      <alignment horizontal="center" vertical="center" wrapText="1"/>
    </xf>
    <xf numFmtId="4" fontId="5" fillId="2" borderId="6" xfId="1" applyNumberFormat="1" applyFont="1" applyFill="1" applyBorder="1" applyAlignment="1" applyProtection="1">
      <alignment horizontal="center" vertical="center" wrapText="1"/>
    </xf>
    <xf numFmtId="4" fontId="5" fillId="2" borderId="7" xfId="1" applyNumberFormat="1" applyFont="1" applyFill="1" applyBorder="1" applyAlignment="1" applyProtection="1">
      <alignment horizontal="center" vertical="center" wrapText="1"/>
    </xf>
    <xf numFmtId="4" fontId="7" fillId="2" borderId="6" xfId="1" applyNumberFormat="1" applyFont="1" applyFill="1" applyBorder="1" applyAlignment="1" applyProtection="1">
      <alignment horizontal="center" vertical="center"/>
    </xf>
    <xf numFmtId="4" fontId="7" fillId="2" borderId="14" xfId="1" applyNumberFormat="1" applyFont="1" applyFill="1" applyBorder="1" applyAlignment="1" applyProtection="1">
      <alignment horizontal="center" vertical="center"/>
    </xf>
    <xf numFmtId="2" fontId="5" fillId="2" borderId="6" xfId="1" applyNumberFormat="1" applyFont="1" applyFill="1" applyBorder="1" applyAlignment="1" applyProtection="1">
      <alignment horizontal="center" vertical="center"/>
    </xf>
    <xf numFmtId="2" fontId="5" fillId="2" borderId="14" xfId="1" applyNumberFormat="1" applyFont="1" applyFill="1" applyBorder="1" applyAlignment="1" applyProtection="1">
      <alignment horizontal="center" vertical="center"/>
    </xf>
    <xf numFmtId="4" fontId="7" fillId="2" borderId="4" xfId="1" applyNumberFormat="1" applyFont="1" applyFill="1" applyBorder="1" applyAlignment="1" applyProtection="1">
      <alignment horizontal="center" vertical="center"/>
    </xf>
    <xf numFmtId="164" fontId="7" fillId="0" borderId="3" xfId="1" applyFont="1" applyFill="1" applyBorder="1" applyAlignment="1" applyProtection="1">
      <alignment horizontal="center" vertical="center" wrapText="1"/>
    </xf>
    <xf numFmtId="164" fontId="7" fillId="0" borderId="6" xfId="1" applyFont="1" applyFill="1" applyBorder="1" applyAlignment="1" applyProtection="1">
      <alignment horizontal="center" vertical="center" wrapText="1"/>
    </xf>
    <xf numFmtId="164" fontId="7" fillId="0" borderId="4" xfId="1" applyFont="1" applyFill="1" applyBorder="1" applyAlignment="1" applyProtection="1">
      <alignment horizontal="center" vertical="center" wrapText="1"/>
    </xf>
    <xf numFmtId="164" fontId="7" fillId="0" borderId="3" xfId="1" applyFont="1" applyFill="1" applyBorder="1" applyAlignment="1" applyProtection="1">
      <alignment horizontal="center" vertical="center"/>
    </xf>
    <xf numFmtId="164" fontId="7" fillId="0" borderId="6" xfId="1" applyFont="1" applyFill="1" applyBorder="1" applyAlignment="1" applyProtection="1">
      <alignment horizontal="center" vertical="center"/>
    </xf>
    <xf numFmtId="164" fontId="7" fillId="0" borderId="4" xfId="1" applyFont="1" applyFill="1" applyBorder="1" applyAlignment="1" applyProtection="1">
      <alignment horizontal="center" vertical="center"/>
    </xf>
    <xf numFmtId="1" fontId="5" fillId="0" borderId="3" xfId="1" applyNumberFormat="1" applyFont="1" applyFill="1" applyBorder="1" applyAlignment="1" applyProtection="1">
      <alignment horizontal="center" vertical="center" wrapText="1"/>
    </xf>
    <xf numFmtId="1" fontId="5" fillId="0" borderId="6" xfId="1" applyNumberFormat="1" applyFont="1" applyFill="1" applyBorder="1" applyAlignment="1" applyProtection="1">
      <alignment horizontal="center" vertical="center" wrapText="1"/>
    </xf>
    <xf numFmtId="1" fontId="5" fillId="0" borderId="4" xfId="1" applyNumberFormat="1" applyFont="1" applyFill="1" applyBorder="1" applyAlignment="1" applyProtection="1">
      <alignment horizontal="center" vertical="center" wrapText="1"/>
    </xf>
    <xf numFmtId="1" fontId="5" fillId="0" borderId="13" xfId="1" applyNumberFormat="1" applyFont="1" applyFill="1" applyBorder="1" applyAlignment="1" applyProtection="1">
      <alignment horizontal="center" vertical="center" wrapText="1"/>
    </xf>
    <xf numFmtId="1" fontId="5" fillId="0" borderId="18" xfId="1" applyNumberFormat="1" applyFont="1" applyFill="1" applyBorder="1" applyAlignment="1" applyProtection="1">
      <alignment horizontal="center" vertical="center" wrapText="1"/>
    </xf>
    <xf numFmtId="1" fontId="5" fillId="0" borderId="17" xfId="1" applyNumberFormat="1" applyFont="1" applyFill="1" applyBorder="1" applyAlignment="1" applyProtection="1">
      <alignment horizontal="center" vertical="center" wrapText="1"/>
    </xf>
    <xf numFmtId="1" fontId="5" fillId="0" borderId="11" xfId="1" applyNumberFormat="1" applyFont="1" applyFill="1" applyBorder="1" applyAlignment="1" applyProtection="1">
      <alignment horizontal="center" vertical="center" wrapText="1"/>
    </xf>
    <xf numFmtId="164" fontId="15" fillId="0" borderId="3" xfId="1" applyFont="1" applyFill="1" applyBorder="1" applyAlignment="1" applyProtection="1">
      <alignment horizontal="center" wrapText="1"/>
    </xf>
    <xf numFmtId="164" fontId="15" fillId="0" borderId="6" xfId="1" applyFont="1" applyFill="1" applyBorder="1" applyAlignment="1" applyProtection="1">
      <alignment horizontal="center" wrapText="1"/>
    </xf>
    <xf numFmtId="164" fontId="15" fillId="0" borderId="4" xfId="1" applyFont="1" applyFill="1" applyBorder="1" applyAlignment="1" applyProtection="1">
      <alignment horizontal="center" wrapText="1"/>
    </xf>
    <xf numFmtId="4" fontId="5" fillId="0" borderId="6" xfId="1" applyNumberFormat="1" applyFont="1" applyFill="1" applyBorder="1" applyAlignment="1" applyProtection="1">
      <alignment horizontal="center" vertical="center" wrapText="1"/>
    </xf>
    <xf numFmtId="4" fontId="5" fillId="0" borderId="4" xfId="1" applyNumberFormat="1" applyFont="1" applyFill="1" applyBorder="1" applyAlignment="1" applyProtection="1">
      <alignment horizontal="center" vertical="center" wrapText="1"/>
    </xf>
    <xf numFmtId="4" fontId="5" fillId="2" borderId="6" xfId="1" applyNumberFormat="1" applyFont="1" applyFill="1" applyBorder="1" applyAlignment="1" applyProtection="1">
      <alignment horizontal="center" vertical="center" wrapText="1"/>
    </xf>
    <xf numFmtId="4" fontId="5" fillId="2" borderId="4" xfId="1" applyNumberFormat="1" applyFont="1" applyFill="1" applyBorder="1" applyAlignment="1" applyProtection="1">
      <alignment horizontal="center" vertical="center" wrapText="1"/>
    </xf>
    <xf numFmtId="164" fontId="7" fillId="0" borderId="6" xfId="1" applyFont="1" applyFill="1" applyBorder="1" applyAlignment="1" applyProtection="1">
      <alignment horizontal="center" vertical="center" shrinkToFit="1"/>
    </xf>
    <xf numFmtId="2" fontId="7" fillId="0" borderId="6" xfId="1" applyNumberFormat="1" applyFont="1" applyFill="1" applyBorder="1" applyAlignment="1" applyProtection="1">
      <alignment horizontal="center" vertical="center" shrinkToFit="1"/>
    </xf>
    <xf numFmtId="164" fontId="7" fillId="0" borderId="4" xfId="1" applyFont="1" applyFill="1" applyBorder="1" applyAlignment="1" applyProtection="1">
      <alignment horizontal="center" vertical="center" shrinkToFit="1"/>
    </xf>
    <xf numFmtId="4" fontId="5" fillId="0" borderId="6" xfId="1" applyNumberFormat="1" applyFont="1" applyFill="1" applyBorder="1" applyAlignment="1" applyProtection="1">
      <alignment horizontal="center" vertical="center"/>
    </xf>
    <xf numFmtId="4" fontId="5" fillId="0" borderId="4" xfId="1" applyNumberFormat="1" applyFont="1" applyFill="1" applyBorder="1" applyAlignment="1" applyProtection="1">
      <alignment horizontal="center" vertical="center"/>
    </xf>
    <xf numFmtId="164" fontId="4" fillId="0" borderId="0" xfId="1" applyFont="1" applyFill="1" applyBorder="1" applyAlignment="1" applyProtection="1">
      <alignment horizontal="right" vertical="center"/>
    </xf>
    <xf numFmtId="43" fontId="7" fillId="0" borderId="3" xfId="1" applyNumberFormat="1" applyFont="1" applyFill="1" applyBorder="1" applyAlignment="1" applyProtection="1">
      <alignment horizontal="center" vertical="center"/>
    </xf>
    <xf numFmtId="43" fontId="7" fillId="0" borderId="4" xfId="1" applyNumberFormat="1" applyFont="1" applyFill="1" applyBorder="1" applyAlignment="1" applyProtection="1">
      <alignment horizontal="center" vertical="center"/>
    </xf>
    <xf numFmtId="1" fontId="5" fillId="0" borderId="12" xfId="1" applyNumberFormat="1" applyFont="1" applyFill="1" applyBorder="1" applyAlignment="1" applyProtection="1">
      <alignment horizontal="center" vertical="center" wrapText="1"/>
    </xf>
    <xf numFmtId="164" fontId="7" fillId="0" borderId="3" xfId="1" applyFont="1" applyFill="1" applyBorder="1" applyAlignment="1" applyProtection="1">
      <alignment horizontal="center" vertical="center" shrinkToFit="1"/>
    </xf>
    <xf numFmtId="164" fontId="15" fillId="0" borderId="3" xfId="1" applyFont="1" applyFill="1" applyBorder="1" applyAlignment="1" applyProtection="1">
      <alignment horizontal="center"/>
    </xf>
    <xf numFmtId="164" fontId="15" fillId="0" borderId="6" xfId="1" applyFont="1" applyFill="1" applyBorder="1" applyAlignment="1" applyProtection="1">
      <alignment horizontal="center"/>
    </xf>
    <xf numFmtId="164" fontId="15" fillId="0" borderId="4" xfId="1" applyFont="1" applyFill="1" applyBorder="1" applyAlignment="1" applyProtection="1">
      <alignment horizontal="center"/>
    </xf>
    <xf numFmtId="43" fontId="7" fillId="0" borderId="6" xfId="1" applyNumberFormat="1" applyFont="1" applyFill="1" applyBorder="1" applyAlignment="1" applyProtection="1">
      <alignment horizontal="center" vertical="center"/>
    </xf>
    <xf numFmtId="164" fontId="25" fillId="0" borderId="0" xfId="1" applyFont="1" applyFill="1" applyBorder="1" applyAlignment="1" applyProtection="1">
      <alignment vertical="center"/>
    </xf>
    <xf numFmtId="164" fontId="26" fillId="0" borderId="0" xfId="1" applyFont="1" applyFill="1" applyBorder="1" applyAlignment="1" applyProtection="1">
      <alignment horizontal="right" vertical="center"/>
    </xf>
    <xf numFmtId="164" fontId="24" fillId="0" borderId="0" xfId="1" applyFont="1" applyFill="1" applyBorder="1" applyAlignment="1" applyProtection="1">
      <alignment horizontal="center" vertical="center"/>
    </xf>
    <xf numFmtId="0" fontId="4" fillId="0" borderId="5" xfId="1" applyNumberFormat="1" applyFont="1" applyFill="1" applyBorder="1" applyAlignment="1" applyProtection="1">
      <alignment vertical="center"/>
    </xf>
    <xf numFmtId="1" fontId="4" fillId="0" borderId="10" xfId="1" applyNumberFormat="1" applyFont="1" applyFill="1" applyBorder="1" applyAlignment="1" applyProtection="1">
      <alignment horizontal="center" vertical="center" wrapText="1"/>
    </xf>
    <xf numFmtId="164" fontId="4" fillId="0" borderId="10" xfId="1" applyFont="1" applyFill="1" applyBorder="1" applyAlignment="1" applyProtection="1">
      <alignment horizontal="center" vertical="center" wrapText="1"/>
    </xf>
    <xf numFmtId="39" fontId="4" fillId="0" borderId="10" xfId="1" applyNumberFormat="1" applyFont="1" applyFill="1" applyBorder="1" applyAlignment="1" applyProtection="1">
      <alignment horizontal="center" vertical="center"/>
    </xf>
    <xf numFmtId="39" fontId="4" fillId="0" borderId="10" xfId="1" applyNumberFormat="1" applyFont="1" applyFill="1" applyBorder="1" applyAlignment="1" applyProtection="1">
      <alignment horizontal="center" vertical="center" wrapText="1"/>
    </xf>
    <xf numFmtId="164" fontId="4" fillId="0" borderId="10" xfId="1" applyFont="1" applyFill="1" applyBorder="1" applyAlignment="1" applyProtection="1">
      <alignment horizontal="center" vertical="center"/>
    </xf>
    <xf numFmtId="39" fontId="4" fillId="0" borderId="3" xfId="1" applyNumberFormat="1" applyFont="1" applyFill="1" applyBorder="1" applyAlignment="1" applyProtection="1">
      <alignment horizontal="center" vertical="top" wrapText="1"/>
    </xf>
    <xf numFmtId="39" fontId="4" fillId="0" borderId="4" xfId="1" applyNumberFormat="1" applyFont="1" applyFill="1" applyBorder="1" applyAlignment="1" applyProtection="1">
      <alignment horizontal="center" vertical="top" wrapText="1"/>
    </xf>
    <xf numFmtId="164" fontId="14" fillId="0" borderId="3" xfId="1" applyFont="1" applyFill="1" applyBorder="1" applyAlignment="1" applyProtection="1">
      <alignment horizontal="center"/>
    </xf>
    <xf numFmtId="164" fontId="14" fillId="0" borderId="6" xfId="1" applyFont="1" applyFill="1" applyBorder="1" applyAlignment="1" applyProtection="1">
      <alignment horizontal="center"/>
    </xf>
    <xf numFmtId="164" fontId="14" fillId="0" borderId="4" xfId="1" applyFont="1" applyFill="1" applyBorder="1" applyAlignment="1" applyProtection="1">
      <alignment horizontal="center"/>
    </xf>
    <xf numFmtId="1" fontId="5" fillId="0" borderId="3" xfId="1" applyNumberFormat="1" applyFont="1" applyFill="1" applyBorder="1" applyAlignment="1" applyProtection="1">
      <alignment horizontal="center" vertical="center"/>
    </xf>
    <xf numFmtId="1" fontId="5" fillId="0" borderId="6" xfId="1" applyNumberFormat="1" applyFont="1" applyFill="1" applyBorder="1" applyAlignment="1" applyProtection="1">
      <alignment horizontal="center" vertical="center"/>
    </xf>
    <xf numFmtId="1" fontId="5" fillId="0" borderId="4" xfId="1" applyNumberFormat="1" applyFont="1" applyFill="1" applyBorder="1" applyAlignment="1" applyProtection="1">
      <alignment horizontal="center" vertical="center"/>
    </xf>
    <xf numFmtId="0" fontId="7" fillId="0" borderId="3" xfId="1" applyNumberFormat="1" applyFont="1" applyFill="1" applyBorder="1" applyAlignment="1" applyProtection="1">
      <alignment horizontal="center" vertical="center"/>
    </xf>
    <xf numFmtId="0" fontId="7" fillId="0" borderId="6" xfId="1" applyNumberFormat="1" applyFont="1" applyFill="1" applyBorder="1" applyAlignment="1" applyProtection="1">
      <alignment horizontal="center" vertical="center"/>
    </xf>
    <xf numFmtId="1" fontId="7" fillId="0" borderId="13" xfId="1" applyNumberFormat="1" applyFont="1" applyFill="1" applyBorder="1" applyAlignment="1" applyProtection="1">
      <alignment horizontal="center" vertical="center" wrapText="1"/>
    </xf>
    <xf numFmtId="1" fontId="7" fillId="0" borderId="12" xfId="1" applyNumberFormat="1" applyFont="1" applyFill="1" applyBorder="1" applyAlignment="1" applyProtection="1">
      <alignment horizontal="center" vertical="center" wrapText="1"/>
    </xf>
    <xf numFmtId="1" fontId="7" fillId="0" borderId="18" xfId="1" applyNumberFormat="1" applyFont="1" applyFill="1" applyBorder="1" applyAlignment="1" applyProtection="1">
      <alignment horizontal="center" vertical="center" wrapText="1"/>
    </xf>
    <xf numFmtId="1" fontId="7" fillId="0" borderId="11" xfId="1" applyNumberFormat="1" applyFont="1" applyFill="1" applyBorder="1" applyAlignment="1" applyProtection="1">
      <alignment horizontal="center" vertical="center" wrapText="1"/>
    </xf>
    <xf numFmtId="164" fontId="7" fillId="2" borderId="3" xfId="1" applyFont="1" applyFill="1" applyBorder="1" applyAlignment="1" applyProtection="1">
      <alignment horizontal="center" vertical="center"/>
    </xf>
    <xf numFmtId="164" fontId="7" fillId="2" borderId="6" xfId="1" applyFont="1" applyFill="1" applyBorder="1" applyAlignment="1" applyProtection="1">
      <alignment horizontal="center" vertical="center"/>
    </xf>
    <xf numFmtId="164" fontId="7" fillId="0" borderId="22" xfId="1" applyFont="1" applyFill="1" applyBorder="1" applyAlignment="1" applyProtection="1">
      <alignment horizontal="center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78"/>
  <sheetViews>
    <sheetView showGridLines="0" tabSelected="1" topLeftCell="A5" zoomScale="82" zoomScaleNormal="82" zoomScaleSheetLayoutView="70" zoomScalePageLayoutView="80" workbookViewId="0">
      <pane ySplit="1470" topLeftCell="A125" activePane="bottomLeft"/>
      <selection activeCell="B4" sqref="B1:D1048576"/>
      <selection pane="bottomLeft" activeCell="P132" sqref="P132"/>
    </sheetView>
  </sheetViews>
  <sheetFormatPr defaultRowHeight="12.75"/>
  <cols>
    <col min="1" max="1" width="4.42578125" style="3" customWidth="1"/>
    <col min="2" max="2" width="47.7109375" style="1" customWidth="1"/>
    <col min="3" max="3" width="10" style="1" customWidth="1"/>
    <col min="4" max="4" width="18.140625" style="2" customWidth="1"/>
    <col min="5" max="5" width="16.7109375" style="2" customWidth="1"/>
    <col min="6" max="8" width="17.5703125" style="2" customWidth="1"/>
    <col min="9" max="9" width="16.42578125" style="2" customWidth="1"/>
    <col min="10" max="10" width="19.85546875" style="2" customWidth="1"/>
    <col min="11" max="11" width="16.5703125" style="1" customWidth="1"/>
    <col min="12" max="12" width="18" style="1" customWidth="1"/>
    <col min="13" max="13" width="25.5703125" style="1" customWidth="1"/>
    <col min="14" max="16384" width="9.140625" style="1"/>
  </cols>
  <sheetData>
    <row r="1" spans="1:18" ht="15">
      <c r="A1" s="284"/>
      <c r="B1" s="284"/>
      <c r="C1" s="284"/>
      <c r="D1" s="284"/>
      <c r="E1" s="284"/>
      <c r="F1" s="284"/>
      <c r="G1" s="284"/>
      <c r="H1" s="284"/>
      <c r="I1" s="284"/>
      <c r="J1" s="182"/>
      <c r="K1" s="117"/>
      <c r="L1" s="285" t="s">
        <v>125</v>
      </c>
      <c r="M1" s="285"/>
      <c r="N1" s="117"/>
      <c r="O1" s="117"/>
      <c r="P1" s="117"/>
      <c r="Q1" s="117"/>
      <c r="R1" s="117"/>
    </row>
    <row r="2" spans="1:18" ht="17.25" customHeight="1">
      <c r="A2" s="286" t="s">
        <v>45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</row>
    <row r="3" spans="1:18" ht="24.75" customHeight="1">
      <c r="A3" s="287"/>
      <c r="B3" s="287"/>
      <c r="C3" s="287"/>
      <c r="D3" s="115"/>
      <c r="E3" s="115"/>
      <c r="F3" s="116" t="s">
        <v>124</v>
      </c>
      <c r="G3" s="115"/>
      <c r="H3" s="115"/>
      <c r="I3" s="115"/>
      <c r="J3" s="183"/>
      <c r="K3" s="114"/>
      <c r="L3" s="114"/>
    </row>
    <row r="4" spans="1:18" ht="15" customHeight="1">
      <c r="A4" s="288" t="s">
        <v>44</v>
      </c>
      <c r="B4" s="289" t="s">
        <v>43</v>
      </c>
      <c r="C4" s="289" t="s">
        <v>42</v>
      </c>
      <c r="D4" s="290" t="s">
        <v>85</v>
      </c>
      <c r="E4" s="290"/>
      <c r="F4" s="290"/>
      <c r="G4" s="290"/>
      <c r="H4" s="290"/>
      <c r="I4" s="291" t="s">
        <v>86</v>
      </c>
      <c r="J4" s="293" t="s">
        <v>126</v>
      </c>
      <c r="K4" s="289" t="s">
        <v>41</v>
      </c>
      <c r="L4" s="289"/>
      <c r="M4" s="292" t="s">
        <v>40</v>
      </c>
    </row>
    <row r="5" spans="1:18" ht="84.75" customHeight="1">
      <c r="A5" s="288"/>
      <c r="B5" s="289"/>
      <c r="C5" s="289"/>
      <c r="D5" s="113" t="s">
        <v>39</v>
      </c>
      <c r="E5" s="113" t="s">
        <v>38</v>
      </c>
      <c r="F5" s="113" t="s">
        <v>37</v>
      </c>
      <c r="G5" s="113" t="s">
        <v>36</v>
      </c>
      <c r="H5" s="113" t="s">
        <v>35</v>
      </c>
      <c r="I5" s="291"/>
      <c r="J5" s="294"/>
      <c r="K5" s="112" t="s">
        <v>34</v>
      </c>
      <c r="L5" s="112" t="s">
        <v>33</v>
      </c>
      <c r="M5" s="292"/>
    </row>
    <row r="6" spans="1:18" ht="15.95" customHeight="1">
      <c r="A6" s="110">
        <v>1</v>
      </c>
      <c r="B6" s="111">
        <v>2</v>
      </c>
      <c r="C6" s="111">
        <v>3</v>
      </c>
      <c r="D6" s="110">
        <v>4</v>
      </c>
      <c r="E6" s="110">
        <v>5</v>
      </c>
      <c r="F6" s="110">
        <v>6</v>
      </c>
      <c r="G6" s="110">
        <v>7</v>
      </c>
      <c r="H6" s="110">
        <v>8</v>
      </c>
      <c r="I6" s="110">
        <v>9</v>
      </c>
      <c r="J6" s="110"/>
      <c r="K6" s="109">
        <v>10</v>
      </c>
      <c r="L6" s="109">
        <v>11</v>
      </c>
      <c r="M6" s="109">
        <v>12</v>
      </c>
    </row>
    <row r="7" spans="1:18" ht="159.94999999999999" customHeight="1">
      <c r="A7" s="303" t="s">
        <v>32</v>
      </c>
      <c r="B7" s="73" t="s">
        <v>77</v>
      </c>
      <c r="C7" s="108"/>
      <c r="D7" s="106"/>
      <c r="E7" s="106"/>
      <c r="F7" s="107"/>
      <c r="G7" s="106"/>
      <c r="H7" s="106"/>
      <c r="I7" s="106"/>
      <c r="J7" s="106"/>
      <c r="K7" s="250" t="s">
        <v>21</v>
      </c>
      <c r="L7" s="253" t="s">
        <v>18</v>
      </c>
      <c r="M7" s="301" t="s">
        <v>97</v>
      </c>
      <c r="N7" s="184"/>
    </row>
    <row r="8" spans="1:18" s="54" customFormat="1" ht="15.95" customHeight="1">
      <c r="A8" s="304"/>
      <c r="B8" s="105" t="s">
        <v>17</v>
      </c>
      <c r="C8" s="104" t="s">
        <v>31</v>
      </c>
      <c r="D8" s="102"/>
      <c r="E8" s="100">
        <v>1000</v>
      </c>
      <c r="F8" s="103"/>
      <c r="G8" s="102"/>
      <c r="H8" s="101"/>
      <c r="I8" s="239">
        <f t="shared" ref="I8:I22" si="0">SUM(D8:G8)</f>
        <v>1000</v>
      </c>
      <c r="J8" s="98">
        <f>22.58+179.34</f>
        <v>201.92000000000002</v>
      </c>
      <c r="K8" s="251"/>
      <c r="L8" s="254"/>
      <c r="M8" s="302"/>
    </row>
    <row r="9" spans="1:18" s="54" customFormat="1" ht="15.95" customHeight="1">
      <c r="A9" s="304"/>
      <c r="B9" s="65" t="s">
        <v>16</v>
      </c>
      <c r="C9" s="70" t="s">
        <v>31</v>
      </c>
      <c r="D9" s="34"/>
      <c r="E9" s="63">
        <v>0</v>
      </c>
      <c r="F9" s="97"/>
      <c r="G9" s="34"/>
      <c r="H9" s="33"/>
      <c r="I9" s="239">
        <v>0</v>
      </c>
      <c r="J9" s="98">
        <v>0</v>
      </c>
      <c r="K9" s="251"/>
      <c r="L9" s="254"/>
      <c r="M9" s="302"/>
    </row>
    <row r="10" spans="1:18" s="54" customFormat="1" ht="15.95" customHeight="1">
      <c r="A10" s="304"/>
      <c r="B10" s="65" t="s">
        <v>15</v>
      </c>
      <c r="C10" s="70" t="s">
        <v>31</v>
      </c>
      <c r="D10" s="34"/>
      <c r="E10" s="63">
        <v>0</v>
      </c>
      <c r="F10" s="97"/>
      <c r="G10" s="34"/>
      <c r="H10" s="33"/>
      <c r="I10" s="239">
        <v>0</v>
      </c>
      <c r="J10" s="98">
        <v>0</v>
      </c>
      <c r="K10" s="251"/>
      <c r="L10" s="254"/>
      <c r="M10" s="302"/>
    </row>
    <row r="11" spans="1:18" s="54" customFormat="1" ht="15.95" customHeight="1">
      <c r="A11" s="304"/>
      <c r="B11" s="65" t="s">
        <v>14</v>
      </c>
      <c r="C11" s="70" t="s">
        <v>31</v>
      </c>
      <c r="D11" s="34"/>
      <c r="E11" s="34"/>
      <c r="F11" s="99">
        <v>0</v>
      </c>
      <c r="G11" s="34"/>
      <c r="H11" s="33"/>
      <c r="I11" s="239">
        <v>0</v>
      </c>
      <c r="J11" s="98">
        <v>0</v>
      </c>
      <c r="K11" s="251"/>
      <c r="L11" s="254"/>
      <c r="M11" s="302"/>
    </row>
    <row r="12" spans="1:18" s="54" customFormat="1" ht="15.95" customHeight="1">
      <c r="A12" s="304"/>
      <c r="B12" s="65" t="s">
        <v>13</v>
      </c>
      <c r="C12" s="70" t="s">
        <v>31</v>
      </c>
      <c r="D12" s="34"/>
      <c r="E12" s="34"/>
      <c r="F12" s="99">
        <v>387.02</v>
      </c>
      <c r="G12" s="34"/>
      <c r="H12" s="33"/>
      <c r="I12" s="239">
        <v>387.02</v>
      </c>
      <c r="J12" s="98">
        <f>387.02</f>
        <v>387.02</v>
      </c>
      <c r="K12" s="251"/>
      <c r="L12" s="254"/>
      <c r="M12" s="302"/>
    </row>
    <row r="13" spans="1:18" ht="15.95" customHeight="1">
      <c r="A13" s="304"/>
      <c r="B13" s="65" t="s">
        <v>12</v>
      </c>
      <c r="C13" s="70" t="s">
        <v>31</v>
      </c>
      <c r="D13" s="34"/>
      <c r="E13" s="34"/>
      <c r="F13" s="99">
        <v>366.98</v>
      </c>
      <c r="G13" s="34"/>
      <c r="H13" s="33"/>
      <c r="I13" s="239">
        <f t="shared" si="0"/>
        <v>366.98</v>
      </c>
      <c r="J13" s="98">
        <f>246.98+120</f>
        <v>366.98</v>
      </c>
      <c r="K13" s="251"/>
      <c r="L13" s="254"/>
      <c r="M13" s="302"/>
    </row>
    <row r="14" spans="1:18" s="54" customFormat="1" ht="15.95" customHeight="1">
      <c r="A14" s="304"/>
      <c r="B14" s="65" t="s">
        <v>11</v>
      </c>
      <c r="C14" s="70" t="s">
        <v>31</v>
      </c>
      <c r="D14" s="34"/>
      <c r="E14" s="34"/>
      <c r="F14" s="97"/>
      <c r="G14" s="100">
        <v>131.58000000000001</v>
      </c>
      <c r="H14" s="33"/>
      <c r="I14" s="239">
        <v>131.58000000000001</v>
      </c>
      <c r="J14" s="98">
        <f>131.58</f>
        <v>131.58000000000001</v>
      </c>
      <c r="K14" s="251"/>
      <c r="L14" s="254"/>
      <c r="M14" s="302"/>
    </row>
    <row r="15" spans="1:18" s="54" customFormat="1" ht="15.95" customHeight="1">
      <c r="A15" s="304"/>
      <c r="B15" s="65" t="s">
        <v>10</v>
      </c>
      <c r="C15" s="70" t="s">
        <v>31</v>
      </c>
      <c r="D15" s="34"/>
      <c r="E15" s="34"/>
      <c r="F15" s="97"/>
      <c r="G15" s="100">
        <v>1000</v>
      </c>
      <c r="H15" s="33"/>
      <c r="I15" s="239">
        <f t="shared" si="0"/>
        <v>1000</v>
      </c>
      <c r="J15" s="98">
        <f>450.32</f>
        <v>450.32</v>
      </c>
      <c r="K15" s="251"/>
      <c r="L15" s="254"/>
      <c r="M15" s="302"/>
    </row>
    <row r="16" spans="1:18" s="54" customFormat="1" ht="15.95" customHeight="1">
      <c r="A16" s="304"/>
      <c r="B16" s="65" t="s">
        <v>9</v>
      </c>
      <c r="C16" s="70" t="s">
        <v>31</v>
      </c>
      <c r="D16" s="34"/>
      <c r="E16" s="34"/>
      <c r="F16" s="97"/>
      <c r="G16" s="100">
        <v>1000</v>
      </c>
      <c r="H16" s="33"/>
      <c r="I16" s="239">
        <f t="shared" si="0"/>
        <v>1000</v>
      </c>
      <c r="J16" s="98">
        <f>207.03+504.54</f>
        <v>711.57</v>
      </c>
      <c r="K16" s="251"/>
      <c r="L16" s="254"/>
      <c r="M16" s="302"/>
    </row>
    <row r="17" spans="1:13" s="54" customFormat="1" ht="15.95" customHeight="1">
      <c r="A17" s="304"/>
      <c r="B17" s="65" t="s">
        <v>8</v>
      </c>
      <c r="C17" s="70" t="s">
        <v>31</v>
      </c>
      <c r="D17" s="100">
        <v>231.62</v>
      </c>
      <c r="E17" s="34"/>
      <c r="F17" s="97"/>
      <c r="G17" s="34"/>
      <c r="H17" s="33"/>
      <c r="I17" s="239">
        <v>231.62</v>
      </c>
      <c r="J17" s="98">
        <f>231.62</f>
        <v>231.62</v>
      </c>
      <c r="K17" s="251"/>
      <c r="L17" s="254"/>
      <c r="M17" s="302"/>
    </row>
    <row r="18" spans="1:13" s="54" customFormat="1" ht="15.95" customHeight="1">
      <c r="A18" s="304"/>
      <c r="B18" s="65" t="s">
        <v>7</v>
      </c>
      <c r="C18" s="70" t="s">
        <v>31</v>
      </c>
      <c r="D18" s="100">
        <v>0</v>
      </c>
      <c r="E18" s="34"/>
      <c r="F18" s="97"/>
      <c r="G18" s="34"/>
      <c r="H18" s="33"/>
      <c r="I18" s="239">
        <v>0</v>
      </c>
      <c r="J18" s="98">
        <v>0</v>
      </c>
      <c r="K18" s="251"/>
      <c r="L18" s="254"/>
      <c r="M18" s="302"/>
    </row>
    <row r="19" spans="1:13" s="54" customFormat="1" ht="15.95" customHeight="1">
      <c r="A19" s="304"/>
      <c r="B19" s="65" t="s">
        <v>6</v>
      </c>
      <c r="C19" s="70" t="s">
        <v>31</v>
      </c>
      <c r="D19" s="100">
        <v>1000</v>
      </c>
      <c r="E19" s="34"/>
      <c r="F19" s="97"/>
      <c r="G19" s="34"/>
      <c r="H19" s="33"/>
      <c r="I19" s="239">
        <f t="shared" si="0"/>
        <v>1000</v>
      </c>
      <c r="J19" s="98">
        <v>0</v>
      </c>
      <c r="K19" s="251"/>
      <c r="L19" s="254"/>
      <c r="M19" s="302"/>
    </row>
    <row r="20" spans="1:13" s="54" customFormat="1" ht="15.95" customHeight="1">
      <c r="A20" s="304"/>
      <c r="B20" s="65" t="s">
        <v>5</v>
      </c>
      <c r="C20" s="70" t="s">
        <v>31</v>
      </c>
      <c r="D20" s="100">
        <v>0</v>
      </c>
      <c r="E20" s="34"/>
      <c r="F20" s="97"/>
      <c r="G20" s="34"/>
      <c r="H20" s="33"/>
      <c r="I20" s="239">
        <v>0</v>
      </c>
      <c r="J20" s="98">
        <v>0</v>
      </c>
      <c r="K20" s="251"/>
      <c r="L20" s="254"/>
      <c r="M20" s="302"/>
    </row>
    <row r="21" spans="1:13" s="54" customFormat="1" ht="15.95" customHeight="1">
      <c r="A21" s="304"/>
      <c r="B21" s="65" t="s">
        <v>4</v>
      </c>
      <c r="C21" s="70" t="s">
        <v>31</v>
      </c>
      <c r="D21" s="34"/>
      <c r="E21" s="34"/>
      <c r="F21" s="99">
        <v>349.76</v>
      </c>
      <c r="G21" s="34"/>
      <c r="H21" s="33"/>
      <c r="I21" s="239">
        <v>349.76</v>
      </c>
      <c r="J21" s="98">
        <f>349.76</f>
        <v>349.76</v>
      </c>
      <c r="K21" s="251"/>
      <c r="L21" s="254"/>
      <c r="M21" s="302"/>
    </row>
    <row r="22" spans="1:13" ht="15.95" customHeight="1">
      <c r="A22" s="304"/>
      <c r="B22" s="65" t="s">
        <v>26</v>
      </c>
      <c r="C22" s="70" t="s">
        <v>31</v>
      </c>
      <c r="D22" s="34"/>
      <c r="E22" s="34"/>
      <c r="F22" s="97"/>
      <c r="G22" s="100">
        <v>1000</v>
      </c>
      <c r="H22" s="33"/>
      <c r="I22" s="239">
        <f t="shared" si="0"/>
        <v>1000</v>
      </c>
      <c r="J22" s="98">
        <f>550+205.22</f>
        <v>755.22</v>
      </c>
      <c r="K22" s="251"/>
      <c r="L22" s="254"/>
      <c r="M22" s="302"/>
    </row>
    <row r="23" spans="1:13" ht="15.95" customHeight="1">
      <c r="A23" s="305"/>
      <c r="B23" s="162" t="s">
        <v>35</v>
      </c>
      <c r="C23" s="171"/>
      <c r="D23" s="164"/>
      <c r="E23" s="164"/>
      <c r="F23" s="172"/>
      <c r="G23" s="173"/>
      <c r="H23" s="170">
        <v>1000</v>
      </c>
      <c r="I23" s="174">
        <v>1000</v>
      </c>
      <c r="J23" s="174">
        <v>0</v>
      </c>
      <c r="K23" s="175"/>
      <c r="L23" s="176"/>
      <c r="M23" s="158"/>
    </row>
    <row r="24" spans="1:13" ht="18" customHeight="1">
      <c r="A24" s="306"/>
      <c r="B24" s="135" t="s">
        <v>2</v>
      </c>
      <c r="C24" s="136" t="s">
        <v>30</v>
      </c>
      <c r="D24" s="159">
        <f>SUM(D8:D22)</f>
        <v>1231.6199999999999</v>
      </c>
      <c r="E24" s="159">
        <f>SUM(E8:E22)</f>
        <v>1000</v>
      </c>
      <c r="F24" s="159">
        <f>SUM(F8:F22)</f>
        <v>1103.76</v>
      </c>
      <c r="G24" s="159">
        <f>SUM(G8:G22)</f>
        <v>3131.58</v>
      </c>
      <c r="H24" s="177">
        <f>H23</f>
        <v>1000</v>
      </c>
      <c r="I24" s="159">
        <f>I8+I9+I10+I11+I12+I13+I14+I15+I16+I17+I18+I19+I20+I21+I22+I23</f>
        <v>7466.96</v>
      </c>
      <c r="J24" s="159">
        <f>J8+J9+J10+J11+J12+J13+J14+J15+J16+J17+J18+J19+J20+J21+J22+J23</f>
        <v>3585.99</v>
      </c>
      <c r="K24" s="157"/>
      <c r="L24" s="157"/>
      <c r="M24" s="161"/>
    </row>
    <row r="25" spans="1:13" ht="50.1" customHeight="1">
      <c r="A25" s="256" t="s">
        <v>29</v>
      </c>
      <c r="B25" s="69" t="s">
        <v>54</v>
      </c>
      <c r="C25" s="240"/>
      <c r="D25" s="95"/>
      <c r="E25" s="95"/>
      <c r="F25" s="95"/>
      <c r="G25" s="95"/>
      <c r="H25" s="95"/>
      <c r="I25" s="95"/>
      <c r="J25" s="95"/>
      <c r="K25" s="307" t="s">
        <v>21</v>
      </c>
      <c r="L25" s="295"/>
      <c r="M25" s="191"/>
    </row>
    <row r="26" spans="1:13" ht="15.95" customHeight="1">
      <c r="A26" s="257"/>
      <c r="B26" s="92" t="s">
        <v>16</v>
      </c>
      <c r="C26" s="241" t="s">
        <v>98</v>
      </c>
      <c r="D26" s="34"/>
      <c r="E26" s="32">
        <v>24429.57</v>
      </c>
      <c r="F26" s="34"/>
      <c r="G26" s="34"/>
      <c r="H26" s="33"/>
      <c r="I26" s="243">
        <v>24429.57</v>
      </c>
      <c r="J26" s="181">
        <f>16900+7529.57</f>
        <v>24429.57</v>
      </c>
      <c r="K26" s="308"/>
      <c r="L26" s="296"/>
      <c r="M26" s="192" t="s">
        <v>97</v>
      </c>
    </row>
    <row r="27" spans="1:13" ht="15.95" customHeight="1">
      <c r="A27" s="257"/>
      <c r="B27" s="92" t="s">
        <v>76</v>
      </c>
      <c r="C27" s="241" t="s">
        <v>99</v>
      </c>
      <c r="D27" s="34"/>
      <c r="E27" s="32">
        <v>48796.47</v>
      </c>
      <c r="F27" s="34"/>
      <c r="G27" s="34"/>
      <c r="H27" s="33"/>
      <c r="I27" s="243">
        <v>48796.47</v>
      </c>
      <c r="J27" s="181">
        <f>41000+7796.47</f>
        <v>48796.47</v>
      </c>
      <c r="K27" s="308"/>
      <c r="L27" s="296"/>
      <c r="M27" s="192" t="s">
        <v>97</v>
      </c>
    </row>
    <row r="28" spans="1:13" ht="15.95" customHeight="1">
      <c r="A28" s="257"/>
      <c r="B28" s="92" t="s">
        <v>14</v>
      </c>
      <c r="C28" s="241" t="s">
        <v>113</v>
      </c>
      <c r="D28" s="34"/>
      <c r="E28" s="32"/>
      <c r="F28" s="153">
        <v>42983.51</v>
      </c>
      <c r="G28" s="34"/>
      <c r="H28" s="33"/>
      <c r="I28" s="243">
        <v>42983.51</v>
      </c>
      <c r="J28" s="181">
        <f>16.47+24.69+183.91+42758.44</f>
        <v>42983.51</v>
      </c>
      <c r="K28" s="308"/>
      <c r="L28" s="296"/>
      <c r="M28" s="192" t="s">
        <v>97</v>
      </c>
    </row>
    <row r="29" spans="1:13" ht="15.95" customHeight="1">
      <c r="A29" s="257"/>
      <c r="B29" s="92" t="s">
        <v>48</v>
      </c>
      <c r="C29" s="241" t="s">
        <v>89</v>
      </c>
      <c r="D29" s="81"/>
      <c r="E29" s="93"/>
      <c r="F29" s="63">
        <v>28600</v>
      </c>
      <c r="G29" s="93"/>
      <c r="H29" s="93"/>
      <c r="I29" s="243">
        <v>28600</v>
      </c>
      <c r="J29" s="181">
        <f>10.54+15.81+183.8+28399.78-9.93</f>
        <v>28600</v>
      </c>
      <c r="K29" s="308"/>
      <c r="L29" s="296"/>
      <c r="M29" s="192" t="s">
        <v>97</v>
      </c>
    </row>
    <row r="30" spans="1:13" ht="15.95" customHeight="1">
      <c r="A30" s="257"/>
      <c r="B30" s="92" t="s">
        <v>49</v>
      </c>
      <c r="C30" s="241" t="s">
        <v>100</v>
      </c>
      <c r="D30" s="81"/>
      <c r="E30" s="93"/>
      <c r="F30" s="63">
        <v>50458.34</v>
      </c>
      <c r="G30" s="63"/>
      <c r="H30" s="93"/>
      <c r="I30" s="243">
        <v>50458.34</v>
      </c>
      <c r="J30" s="181">
        <f>15.67+23.52+183.96+31098.04+19137.15</f>
        <v>50458.340000000004</v>
      </c>
      <c r="K30" s="308"/>
      <c r="L30" s="296"/>
      <c r="M30" s="192" t="s">
        <v>97</v>
      </c>
    </row>
    <row r="31" spans="1:13" ht="15.95" customHeight="1">
      <c r="A31" s="257"/>
      <c r="B31" s="92" t="s">
        <v>10</v>
      </c>
      <c r="C31" s="241" t="s">
        <v>88</v>
      </c>
      <c r="D31" s="81"/>
      <c r="E31" s="93"/>
      <c r="F31" s="93"/>
      <c r="G31" s="63">
        <v>29900</v>
      </c>
      <c r="H31" s="93"/>
      <c r="I31" s="243">
        <v>29900</v>
      </c>
      <c r="J31" s="181">
        <f>10.99+16.48+183.74+82</f>
        <v>293.21000000000004</v>
      </c>
      <c r="K31" s="308"/>
      <c r="L31" s="296"/>
      <c r="M31" s="192" t="s">
        <v>96</v>
      </c>
    </row>
    <row r="32" spans="1:13" ht="15.95" customHeight="1">
      <c r="A32" s="257"/>
      <c r="B32" s="92" t="s">
        <v>94</v>
      </c>
      <c r="C32" s="241" t="s">
        <v>122</v>
      </c>
      <c r="D32" s="242">
        <v>41700</v>
      </c>
      <c r="E32" s="93"/>
      <c r="F32" s="93"/>
      <c r="G32" s="93"/>
      <c r="H32" s="93"/>
      <c r="I32" s="243">
        <v>41700</v>
      </c>
      <c r="J32" s="181">
        <f>17.38+26.06+183.42</f>
        <v>226.85999999999999</v>
      </c>
      <c r="K32" s="308"/>
      <c r="L32" s="296"/>
      <c r="M32" s="192" t="s">
        <v>96</v>
      </c>
    </row>
    <row r="33" spans="1:13" ht="15.95" customHeight="1">
      <c r="A33" s="257"/>
      <c r="B33" s="92" t="s">
        <v>93</v>
      </c>
      <c r="C33" s="241" t="s">
        <v>111</v>
      </c>
      <c r="D33" s="242">
        <v>41700</v>
      </c>
      <c r="E33" s="93"/>
      <c r="F33" s="93"/>
      <c r="G33" s="93"/>
      <c r="H33" s="93"/>
      <c r="I33" s="243">
        <v>41700</v>
      </c>
      <c r="J33" s="181">
        <f>15.6+23.42+156.36+39014.87+1791.75</f>
        <v>41002</v>
      </c>
      <c r="K33" s="308"/>
      <c r="L33" s="296"/>
      <c r="M33" s="192" t="s">
        <v>97</v>
      </c>
    </row>
    <row r="34" spans="1:13" ht="15.95" customHeight="1">
      <c r="A34" s="257"/>
      <c r="B34" s="92" t="s">
        <v>6</v>
      </c>
      <c r="C34" s="241" t="s">
        <v>84</v>
      </c>
      <c r="D34" s="242">
        <v>68000</v>
      </c>
      <c r="E34" s="93"/>
      <c r="F34" s="93"/>
      <c r="G34" s="93"/>
      <c r="H34" s="93"/>
      <c r="I34" s="243">
        <v>68000</v>
      </c>
      <c r="J34" s="181">
        <f>25.1+37.67+246+82+67328.11</f>
        <v>67718.880000000005</v>
      </c>
      <c r="K34" s="308"/>
      <c r="L34" s="296"/>
      <c r="M34" s="192" t="s">
        <v>127</v>
      </c>
    </row>
    <row r="35" spans="1:13" ht="15.95" customHeight="1">
      <c r="A35" s="257"/>
      <c r="B35" s="92" t="s">
        <v>92</v>
      </c>
      <c r="C35" s="241" t="s">
        <v>112</v>
      </c>
      <c r="D35" s="242">
        <v>53920.17</v>
      </c>
      <c r="E35" s="93"/>
      <c r="F35" s="93"/>
      <c r="G35" s="93"/>
      <c r="H35" s="93"/>
      <c r="I35" s="243">
        <v>53920.17</v>
      </c>
      <c r="J35" s="181">
        <f>14.64+21.96+183.03+53700.54</f>
        <v>53920.17</v>
      </c>
      <c r="K35" s="308"/>
      <c r="L35" s="296"/>
      <c r="M35" s="192" t="s">
        <v>97</v>
      </c>
    </row>
    <row r="36" spans="1:13" ht="15.95" customHeight="1">
      <c r="A36" s="257"/>
      <c r="B36" s="92" t="s">
        <v>55</v>
      </c>
      <c r="C36" s="91" t="s">
        <v>90</v>
      </c>
      <c r="D36" s="242"/>
      <c r="E36" s="93"/>
      <c r="F36" s="63">
        <v>23600</v>
      </c>
      <c r="G36" s="93"/>
      <c r="H36" s="93"/>
      <c r="I36" s="243">
        <v>23600</v>
      </c>
      <c r="J36" s="181">
        <f>8.12+12.18+126.17</f>
        <v>146.47</v>
      </c>
      <c r="K36" s="308"/>
      <c r="L36" s="296"/>
      <c r="M36" s="192" t="s">
        <v>96</v>
      </c>
    </row>
    <row r="37" spans="1:13" ht="15.95" customHeight="1">
      <c r="A37" s="257"/>
      <c r="B37" s="92" t="s">
        <v>56</v>
      </c>
      <c r="C37" s="91" t="s">
        <v>91</v>
      </c>
      <c r="D37" s="63"/>
      <c r="E37" s="93"/>
      <c r="F37" s="93"/>
      <c r="G37" s="63">
        <v>18900</v>
      </c>
      <c r="H37" s="93"/>
      <c r="I37" s="32">
        <v>18900</v>
      </c>
      <c r="J37" s="181">
        <f>6.48+9.71+125.97</f>
        <v>142.16</v>
      </c>
      <c r="K37" s="308"/>
      <c r="L37" s="297"/>
      <c r="M37" s="193" t="s">
        <v>96</v>
      </c>
    </row>
    <row r="38" spans="1:13" ht="18" customHeight="1">
      <c r="A38" s="258"/>
      <c r="B38" s="53" t="s">
        <v>2</v>
      </c>
      <c r="C38" s="61" t="s">
        <v>123</v>
      </c>
      <c r="D38" s="90">
        <f>SUM(D26:D37)</f>
        <v>205320.16999999998</v>
      </c>
      <c r="E38" s="52">
        <f>E26+E27</f>
        <v>73226.040000000008</v>
      </c>
      <c r="F38" s="52">
        <f>SUM(F26:F37)</f>
        <v>145641.85</v>
      </c>
      <c r="G38" s="52">
        <f>SUM(G26:G37)</f>
        <v>48800</v>
      </c>
      <c r="H38" s="51"/>
      <c r="I38" s="52">
        <f>SUM(I26:I37)</f>
        <v>472988.06</v>
      </c>
      <c r="J38" s="52">
        <f>J26+J27+J28+J29+J30+J31+J32+J33+J34+J35+J36+J37</f>
        <v>358717.6399999999</v>
      </c>
      <c r="K38" s="235"/>
      <c r="L38" s="234"/>
      <c r="M38" s="89"/>
    </row>
    <row r="39" spans="1:13" ht="65.099999999999994" customHeight="1">
      <c r="A39" s="298" t="s">
        <v>28</v>
      </c>
      <c r="B39" s="49" t="s">
        <v>51</v>
      </c>
      <c r="C39" s="88"/>
      <c r="D39" s="86"/>
      <c r="E39" s="85"/>
      <c r="F39" s="86"/>
      <c r="G39" s="87"/>
      <c r="H39" s="86"/>
      <c r="I39" s="85"/>
      <c r="J39" s="85"/>
      <c r="K39" s="253" t="s">
        <v>21</v>
      </c>
      <c r="L39" s="280"/>
      <c r="M39" s="187"/>
    </row>
    <row r="40" spans="1:13" ht="15.95" customHeight="1">
      <c r="A40" s="299"/>
      <c r="B40" s="198" t="s">
        <v>17</v>
      </c>
      <c r="C40" s="96" t="s">
        <v>80</v>
      </c>
      <c r="D40" s="134"/>
      <c r="E40" s="134">
        <v>19583.439999999999</v>
      </c>
      <c r="F40" s="134"/>
      <c r="G40" s="133"/>
      <c r="H40" s="133"/>
      <c r="I40" s="215">
        <v>19583.439999999999</v>
      </c>
      <c r="J40" s="75">
        <f>42.55+19540.89</f>
        <v>19583.439999999999</v>
      </c>
      <c r="K40" s="254"/>
      <c r="L40" s="281"/>
      <c r="M40" s="194" t="s">
        <v>97</v>
      </c>
    </row>
    <row r="41" spans="1:13" ht="15.95" customHeight="1">
      <c r="A41" s="299"/>
      <c r="B41" s="198" t="s">
        <v>101</v>
      </c>
      <c r="C41" s="96" t="s">
        <v>82</v>
      </c>
      <c r="D41" s="134"/>
      <c r="E41" s="134"/>
      <c r="F41" s="134">
        <v>3849.99</v>
      </c>
      <c r="G41" s="133"/>
      <c r="H41" s="134"/>
      <c r="I41" s="215">
        <v>3849.99</v>
      </c>
      <c r="J41" s="215">
        <v>3849.99</v>
      </c>
      <c r="K41" s="254"/>
      <c r="L41" s="281"/>
      <c r="M41" s="188" t="s">
        <v>97</v>
      </c>
    </row>
    <row r="42" spans="1:13" ht="15.95" customHeight="1">
      <c r="A42" s="299"/>
      <c r="B42" s="198" t="s">
        <v>11</v>
      </c>
      <c r="C42" s="96" t="s">
        <v>81</v>
      </c>
      <c r="D42" s="134"/>
      <c r="E42" s="134"/>
      <c r="F42" s="134"/>
      <c r="G42" s="134">
        <v>21381.82</v>
      </c>
      <c r="H42" s="133"/>
      <c r="I42" s="215">
        <v>21381.82</v>
      </c>
      <c r="J42" s="75">
        <f>41.02+21340.8</f>
        <v>21381.82</v>
      </c>
      <c r="K42" s="254"/>
      <c r="L42" s="281"/>
      <c r="M42" s="188" t="s">
        <v>97</v>
      </c>
    </row>
    <row r="43" spans="1:13" ht="15.95" customHeight="1">
      <c r="A43" s="299"/>
      <c r="B43" s="198" t="s">
        <v>53</v>
      </c>
      <c r="C43" s="96" t="s">
        <v>82</v>
      </c>
      <c r="D43" s="134"/>
      <c r="E43" s="134"/>
      <c r="F43" s="134"/>
      <c r="G43" s="134">
        <v>4741.04</v>
      </c>
      <c r="H43" s="133"/>
      <c r="I43" s="215">
        <v>4741.04</v>
      </c>
      <c r="J43" s="75">
        <f>10.64+4730.4</f>
        <v>4741.04</v>
      </c>
      <c r="K43" s="254"/>
      <c r="L43" s="281"/>
      <c r="M43" s="188" t="s">
        <v>97</v>
      </c>
    </row>
    <row r="44" spans="1:13" ht="15.95" customHeight="1">
      <c r="A44" s="299"/>
      <c r="B44" s="198" t="s">
        <v>9</v>
      </c>
      <c r="C44" s="192" t="s">
        <v>83</v>
      </c>
      <c r="D44" s="134"/>
      <c r="E44" s="134"/>
      <c r="F44" s="134"/>
      <c r="G44" s="134">
        <v>27782.9</v>
      </c>
      <c r="H44" s="133"/>
      <c r="I44" s="215">
        <v>27782.9</v>
      </c>
      <c r="J44" s="75">
        <f>57.74+27725.16</f>
        <v>27782.9</v>
      </c>
      <c r="K44" s="254"/>
      <c r="L44" s="281"/>
      <c r="M44" s="195" t="s">
        <v>97</v>
      </c>
    </row>
    <row r="45" spans="1:13" ht="15.95" customHeight="1">
      <c r="A45" s="299"/>
      <c r="B45" s="204" t="s">
        <v>103</v>
      </c>
      <c r="C45" s="202" t="s">
        <v>52</v>
      </c>
      <c r="D45" s="41"/>
      <c r="E45" s="41"/>
      <c r="F45" s="41"/>
      <c r="G45" s="41"/>
      <c r="H45" s="214">
        <v>1313.77</v>
      </c>
      <c r="I45" s="244">
        <v>1313.77</v>
      </c>
      <c r="J45" s="201">
        <v>1313.77</v>
      </c>
      <c r="K45" s="199"/>
      <c r="L45" s="200"/>
      <c r="M45" s="199"/>
    </row>
    <row r="46" spans="1:13" ht="18" customHeight="1">
      <c r="A46" s="300"/>
      <c r="B46" s="203" t="s">
        <v>2</v>
      </c>
      <c r="C46" s="197" t="s">
        <v>102</v>
      </c>
      <c r="D46" s="52"/>
      <c r="E46" s="52">
        <f>E40</f>
        <v>19583.439999999999</v>
      </c>
      <c r="F46" s="52">
        <v>3849.99</v>
      </c>
      <c r="G46" s="52">
        <f>G42+G43+G44</f>
        <v>53905.760000000002</v>
      </c>
      <c r="H46" s="52">
        <f>H45</f>
        <v>1313.77</v>
      </c>
      <c r="I46" s="52">
        <f>I40+I41+I42+I43+I44+I45</f>
        <v>78652.960000000006</v>
      </c>
      <c r="J46" s="52">
        <f>J40+J41+J42+J43+J44+J45</f>
        <v>78652.960000000006</v>
      </c>
      <c r="K46" s="89"/>
      <c r="L46" s="89"/>
      <c r="M46" s="50"/>
    </row>
    <row r="47" spans="1:13" ht="79.5" customHeight="1">
      <c r="A47" s="259" t="s">
        <v>69</v>
      </c>
      <c r="B47" s="71" t="s">
        <v>87</v>
      </c>
      <c r="C47" s="67"/>
      <c r="D47" s="45"/>
      <c r="E47" s="72"/>
      <c r="F47" s="45"/>
      <c r="G47" s="45"/>
      <c r="H47" s="46"/>
      <c r="I47" s="45"/>
      <c r="J47" s="45"/>
      <c r="K47" s="253" t="s">
        <v>21</v>
      </c>
      <c r="L47" s="280"/>
      <c r="M47" s="250" t="s">
        <v>97</v>
      </c>
    </row>
    <row r="48" spans="1:13" ht="15.95" customHeight="1">
      <c r="A48" s="260"/>
      <c r="B48" s="84" t="s">
        <v>17</v>
      </c>
      <c r="C48" s="270" t="s">
        <v>50</v>
      </c>
      <c r="D48" s="34"/>
      <c r="E48" s="75"/>
      <c r="F48" s="32"/>
      <c r="G48" s="34"/>
      <c r="H48" s="273">
        <v>1731.13</v>
      </c>
      <c r="I48" s="32"/>
      <c r="J48" s="181"/>
      <c r="K48" s="254"/>
      <c r="L48" s="281"/>
      <c r="M48" s="251"/>
    </row>
    <row r="49" spans="1:13" ht="15.95" customHeight="1">
      <c r="A49" s="260"/>
      <c r="B49" s="84" t="s">
        <v>16</v>
      </c>
      <c r="C49" s="270"/>
      <c r="D49" s="83"/>
      <c r="E49" s="75"/>
      <c r="F49" s="75"/>
      <c r="G49" s="83"/>
      <c r="H49" s="273"/>
      <c r="I49" s="215">
        <v>1731.13</v>
      </c>
      <c r="J49" s="75">
        <v>1731.13</v>
      </c>
      <c r="K49" s="254"/>
      <c r="L49" s="281"/>
      <c r="M49" s="251"/>
    </row>
    <row r="50" spans="1:13" ht="15.95" customHeight="1">
      <c r="A50" s="260"/>
      <c r="B50" s="84" t="s">
        <v>15</v>
      </c>
      <c r="C50" s="270"/>
      <c r="D50" s="83"/>
      <c r="E50" s="75"/>
      <c r="F50" s="75"/>
      <c r="G50" s="83"/>
      <c r="H50" s="273"/>
      <c r="I50" s="75"/>
      <c r="J50" s="75"/>
      <c r="K50" s="254"/>
      <c r="L50" s="281"/>
      <c r="M50" s="251"/>
    </row>
    <row r="51" spans="1:13" ht="15.95" customHeight="1">
      <c r="A51" s="260"/>
      <c r="B51" s="84" t="s">
        <v>14</v>
      </c>
      <c r="C51" s="270" t="s">
        <v>50</v>
      </c>
      <c r="D51" s="83"/>
      <c r="E51" s="75"/>
      <c r="F51" s="75"/>
      <c r="G51" s="83"/>
      <c r="H51" s="273">
        <v>1309.54</v>
      </c>
      <c r="I51" s="75"/>
      <c r="J51" s="75"/>
      <c r="K51" s="254"/>
      <c r="L51" s="281"/>
      <c r="M51" s="251"/>
    </row>
    <row r="52" spans="1:13" ht="15.95" customHeight="1">
      <c r="A52" s="261"/>
      <c r="B52" s="65" t="s">
        <v>13</v>
      </c>
      <c r="C52" s="270"/>
      <c r="D52" s="83"/>
      <c r="E52" s="75"/>
      <c r="F52" s="75"/>
      <c r="G52" s="83"/>
      <c r="H52" s="273"/>
      <c r="I52" s="75"/>
      <c r="J52" s="75"/>
      <c r="K52" s="254"/>
      <c r="L52" s="281"/>
      <c r="M52" s="251"/>
    </row>
    <row r="53" spans="1:13" ht="15.95" customHeight="1">
      <c r="A53" s="260"/>
      <c r="B53" s="84" t="s">
        <v>12</v>
      </c>
      <c r="C53" s="270"/>
      <c r="D53" s="34"/>
      <c r="E53" s="75"/>
      <c r="F53" s="32"/>
      <c r="G53" s="34"/>
      <c r="H53" s="273"/>
      <c r="I53" s="32"/>
      <c r="J53" s="181"/>
      <c r="K53" s="254"/>
      <c r="L53" s="281"/>
      <c r="M53" s="251"/>
    </row>
    <row r="54" spans="1:13" ht="15.95" customHeight="1">
      <c r="A54" s="260"/>
      <c r="B54" s="84" t="s">
        <v>11</v>
      </c>
      <c r="C54" s="270"/>
      <c r="D54" s="83"/>
      <c r="E54" s="75"/>
      <c r="F54" s="83"/>
      <c r="G54" s="75"/>
      <c r="H54" s="273"/>
      <c r="I54" s="215">
        <v>1309.54</v>
      </c>
      <c r="J54" s="75">
        <v>1309.54</v>
      </c>
      <c r="K54" s="254"/>
      <c r="L54" s="281"/>
      <c r="M54" s="251"/>
    </row>
    <row r="55" spans="1:13" ht="15.95" customHeight="1">
      <c r="A55" s="261"/>
      <c r="B55" s="84" t="s">
        <v>10</v>
      </c>
      <c r="C55" s="270"/>
      <c r="D55" s="34"/>
      <c r="E55" s="75"/>
      <c r="F55" s="34"/>
      <c r="G55" s="32"/>
      <c r="H55" s="273"/>
      <c r="I55" s="32"/>
      <c r="J55" s="181"/>
      <c r="K55" s="254"/>
      <c r="L55" s="281"/>
      <c r="M55" s="251"/>
    </row>
    <row r="56" spans="1:13" ht="15.95" customHeight="1">
      <c r="A56" s="261"/>
      <c r="B56" s="84" t="s">
        <v>4</v>
      </c>
      <c r="C56" s="270"/>
      <c r="D56" s="32"/>
      <c r="E56" s="75"/>
      <c r="F56" s="34"/>
      <c r="G56" s="83"/>
      <c r="H56" s="273"/>
      <c r="I56" s="32"/>
      <c r="J56" s="181"/>
      <c r="K56" s="254"/>
      <c r="L56" s="281"/>
      <c r="M56" s="251"/>
    </row>
    <row r="57" spans="1:13" ht="15.95" customHeight="1">
      <c r="A57" s="260"/>
      <c r="B57" s="84" t="s">
        <v>26</v>
      </c>
      <c r="C57" s="270"/>
      <c r="D57" s="75"/>
      <c r="E57" s="75"/>
      <c r="F57" s="83"/>
      <c r="G57" s="83"/>
      <c r="H57" s="273"/>
      <c r="I57" s="75"/>
      <c r="J57" s="75"/>
      <c r="K57" s="254"/>
      <c r="L57" s="281"/>
      <c r="M57" s="251"/>
    </row>
    <row r="58" spans="1:13" ht="15.95" customHeight="1">
      <c r="A58" s="261"/>
      <c r="B58" s="84" t="s">
        <v>8</v>
      </c>
      <c r="C58" s="271" t="s">
        <v>50</v>
      </c>
      <c r="D58" s="32"/>
      <c r="E58" s="75"/>
      <c r="F58" s="34"/>
      <c r="G58" s="83"/>
      <c r="H58" s="273">
        <v>1429.96</v>
      </c>
      <c r="I58" s="268">
        <v>1429.96</v>
      </c>
      <c r="J58" s="266">
        <v>1429.96</v>
      </c>
      <c r="K58" s="254"/>
      <c r="L58" s="281"/>
      <c r="M58" s="251"/>
    </row>
    <row r="59" spans="1:13" ht="15.95" customHeight="1">
      <c r="A59" s="260"/>
      <c r="B59" s="84" t="s">
        <v>6</v>
      </c>
      <c r="C59" s="271"/>
      <c r="D59" s="75"/>
      <c r="E59" s="75"/>
      <c r="F59" s="83"/>
      <c r="G59" s="83"/>
      <c r="H59" s="273"/>
      <c r="I59" s="268"/>
      <c r="J59" s="266"/>
      <c r="K59" s="254"/>
      <c r="L59" s="281"/>
      <c r="M59" s="251"/>
    </row>
    <row r="60" spans="1:13" ht="15.95" customHeight="1">
      <c r="A60" s="260"/>
      <c r="B60" s="84" t="s">
        <v>7</v>
      </c>
      <c r="C60" s="270" t="s">
        <v>50</v>
      </c>
      <c r="D60" s="83"/>
      <c r="E60" s="75"/>
      <c r="F60" s="83"/>
      <c r="G60" s="83"/>
      <c r="H60" s="273">
        <v>1066.25</v>
      </c>
      <c r="I60" s="268">
        <v>1066.25</v>
      </c>
      <c r="J60" s="266">
        <v>1066.25</v>
      </c>
      <c r="K60" s="254"/>
      <c r="L60" s="281"/>
      <c r="M60" s="251"/>
    </row>
    <row r="61" spans="1:13" ht="15.95" customHeight="1">
      <c r="A61" s="261"/>
      <c r="B61" s="65" t="s">
        <v>5</v>
      </c>
      <c r="C61" s="272"/>
      <c r="D61" s="34"/>
      <c r="E61" s="75"/>
      <c r="F61" s="34"/>
      <c r="G61" s="32"/>
      <c r="H61" s="274"/>
      <c r="I61" s="269"/>
      <c r="J61" s="267"/>
      <c r="K61" s="254"/>
      <c r="L61" s="282"/>
      <c r="M61" s="252"/>
    </row>
    <row r="62" spans="1:13" ht="18" customHeight="1">
      <c r="A62" s="262"/>
      <c r="B62" s="118" t="s">
        <v>2</v>
      </c>
      <c r="C62" s="82" t="s">
        <v>57</v>
      </c>
      <c r="D62" s="59"/>
      <c r="E62" s="59"/>
      <c r="F62" s="59"/>
      <c r="G62" s="59"/>
      <c r="H62" s="52">
        <f>H48+H51+H58+H60</f>
        <v>5536.88</v>
      </c>
      <c r="I62" s="59">
        <f>I49+I54+I58+I60</f>
        <v>5536.88</v>
      </c>
      <c r="J62" s="59">
        <f>J49+J50+J51+J52+J53+J54+J55+J56+J57+J58+J59+J60+J61</f>
        <v>5536.88</v>
      </c>
      <c r="K62" s="58"/>
      <c r="L62" s="57"/>
      <c r="M62" s="50"/>
    </row>
    <row r="63" spans="1:13" ht="95.1" customHeight="1">
      <c r="A63" s="256" t="s">
        <v>27</v>
      </c>
      <c r="B63" s="119" t="s">
        <v>60</v>
      </c>
      <c r="C63" s="132"/>
      <c r="D63" s="128"/>
      <c r="E63" s="47"/>
      <c r="F63" s="47"/>
      <c r="G63" s="45"/>
      <c r="H63" s="46"/>
      <c r="I63" s="66"/>
      <c r="J63" s="66"/>
      <c r="K63" s="185"/>
      <c r="L63" s="263"/>
      <c r="M63" s="187"/>
    </row>
    <row r="64" spans="1:13" ht="15.95" customHeight="1">
      <c r="A64" s="257"/>
      <c r="B64" s="80" t="s">
        <v>17</v>
      </c>
      <c r="C64" s="121" t="s">
        <v>58</v>
      </c>
      <c r="D64" s="78"/>
      <c r="E64" s="78">
        <v>6157.68</v>
      </c>
      <c r="F64" s="78"/>
      <c r="G64" s="77"/>
      <c r="H64" s="76"/>
      <c r="I64" s="215">
        <v>6157.68</v>
      </c>
      <c r="J64" s="75">
        <f>6157.68</f>
        <v>6157.68</v>
      </c>
      <c r="K64" s="190" t="s">
        <v>21</v>
      </c>
      <c r="L64" s="264"/>
      <c r="M64" s="188" t="s">
        <v>97</v>
      </c>
    </row>
    <row r="65" spans="1:13" ht="15.95" customHeight="1">
      <c r="A65" s="257"/>
      <c r="B65" s="80" t="s">
        <v>16</v>
      </c>
      <c r="C65" s="154" t="s">
        <v>79</v>
      </c>
      <c r="D65" s="78"/>
      <c r="E65" s="78">
        <v>5284.97</v>
      </c>
      <c r="F65" s="78"/>
      <c r="G65" s="77"/>
      <c r="H65" s="76"/>
      <c r="I65" s="215">
        <v>5284.97</v>
      </c>
      <c r="J65" s="75">
        <f>5284.97</f>
        <v>5284.97</v>
      </c>
      <c r="K65" s="190"/>
      <c r="L65" s="264"/>
      <c r="M65" s="188"/>
    </row>
    <row r="66" spans="1:13" ht="15.95" customHeight="1">
      <c r="A66" s="257"/>
      <c r="B66" s="80" t="s">
        <v>14</v>
      </c>
      <c r="C66" s="178" t="s">
        <v>58</v>
      </c>
      <c r="D66" s="78"/>
      <c r="E66" s="78"/>
      <c r="F66" s="78">
        <v>6576.09</v>
      </c>
      <c r="G66" s="77"/>
      <c r="H66" s="76"/>
      <c r="I66" s="215">
        <v>6576.09</v>
      </c>
      <c r="J66" s="75">
        <v>6576.09</v>
      </c>
      <c r="K66" s="190"/>
      <c r="L66" s="264"/>
      <c r="M66" s="188"/>
    </row>
    <row r="67" spans="1:13" ht="15.95" customHeight="1">
      <c r="A67" s="257"/>
      <c r="B67" s="80" t="s">
        <v>11</v>
      </c>
      <c r="C67" s="151" t="s">
        <v>58</v>
      </c>
      <c r="D67" s="78"/>
      <c r="E67" s="79"/>
      <c r="F67" s="78"/>
      <c r="G67" s="152">
        <v>7316.37</v>
      </c>
      <c r="H67" s="76"/>
      <c r="I67" s="243">
        <v>7316.37</v>
      </c>
      <c r="J67" s="181">
        <v>7316.37</v>
      </c>
      <c r="K67" s="190"/>
      <c r="L67" s="264"/>
      <c r="M67" s="188"/>
    </row>
    <row r="68" spans="1:13" ht="15.95" customHeight="1">
      <c r="A68" s="257"/>
      <c r="B68" s="80" t="s">
        <v>6</v>
      </c>
      <c r="C68" s="151" t="s">
        <v>78</v>
      </c>
      <c r="D68" s="78">
        <v>5500</v>
      </c>
      <c r="E68" s="79"/>
      <c r="F68" s="78"/>
      <c r="G68" s="77"/>
      <c r="H68" s="76"/>
      <c r="I68" s="215">
        <v>5500</v>
      </c>
      <c r="J68" s="75">
        <f>2703.24+2795.14</f>
        <v>5498.3799999999992</v>
      </c>
      <c r="K68" s="186"/>
      <c r="L68" s="265"/>
      <c r="M68" s="189"/>
    </row>
    <row r="69" spans="1:13" ht="18" customHeight="1">
      <c r="A69" s="258"/>
      <c r="B69" s="53" t="s">
        <v>2</v>
      </c>
      <c r="C69" s="179" t="s">
        <v>95</v>
      </c>
      <c r="D69" s="52">
        <f>D68</f>
        <v>5500</v>
      </c>
      <c r="E69" s="52">
        <f>E64+E65</f>
        <v>11442.650000000001</v>
      </c>
      <c r="F69" s="52">
        <f>F66</f>
        <v>6576.09</v>
      </c>
      <c r="G69" s="52">
        <f>G67</f>
        <v>7316.37</v>
      </c>
      <c r="H69" s="51"/>
      <c r="I69" s="52">
        <f>I64+I65+I66+I67+I68</f>
        <v>30835.11</v>
      </c>
      <c r="J69" s="52">
        <f>J64+J65+J66+J67+J68</f>
        <v>30833.489999999998</v>
      </c>
      <c r="K69" s="58"/>
      <c r="L69" s="57"/>
      <c r="M69" s="50"/>
    </row>
    <row r="70" spans="1:13" ht="65.099999999999994" customHeight="1">
      <c r="A70" s="259" t="s">
        <v>25</v>
      </c>
      <c r="B70" s="68" t="s">
        <v>71</v>
      </c>
      <c r="C70" s="132"/>
      <c r="D70" s="45"/>
      <c r="E70" s="45"/>
      <c r="F70" s="45"/>
      <c r="G70" s="45"/>
      <c r="H70" s="46"/>
      <c r="I70" s="66"/>
      <c r="J70" s="66"/>
      <c r="K70" s="253" t="s">
        <v>21</v>
      </c>
      <c r="L70" s="280"/>
      <c r="M70" s="253" t="s">
        <v>96</v>
      </c>
    </row>
    <row r="71" spans="1:13" ht="15.95" customHeight="1">
      <c r="A71" s="278"/>
      <c r="B71" s="65" t="s">
        <v>61</v>
      </c>
      <c r="C71" s="130" t="s">
        <v>63</v>
      </c>
      <c r="D71" s="39"/>
      <c r="E71" s="34"/>
      <c r="F71" s="32">
        <v>236.92</v>
      </c>
      <c r="G71" s="34"/>
      <c r="H71" s="64"/>
      <c r="I71" s="243">
        <v>236.92</v>
      </c>
      <c r="J71" s="181">
        <f>94.77+142.15</f>
        <v>236.92000000000002</v>
      </c>
      <c r="K71" s="254"/>
      <c r="L71" s="281"/>
      <c r="M71" s="254"/>
    </row>
    <row r="72" spans="1:13" ht="15.95" customHeight="1">
      <c r="A72" s="261"/>
      <c r="B72" s="84" t="s">
        <v>62</v>
      </c>
      <c r="C72" s="131" t="s">
        <v>47</v>
      </c>
      <c r="D72" s="138"/>
      <c r="E72" s="34"/>
      <c r="F72" s="32"/>
      <c r="G72" s="32">
        <v>124.2</v>
      </c>
      <c r="H72" s="64"/>
      <c r="I72" s="215">
        <v>124.2</v>
      </c>
      <c r="J72" s="75">
        <f>49.68+74.52</f>
        <v>124.19999999999999</v>
      </c>
      <c r="K72" s="255"/>
      <c r="L72" s="282"/>
      <c r="M72" s="255"/>
    </row>
    <row r="73" spans="1:13" ht="18" customHeight="1">
      <c r="A73" s="262"/>
      <c r="B73" s="53" t="s">
        <v>2</v>
      </c>
      <c r="C73" s="180" t="s">
        <v>67</v>
      </c>
      <c r="D73" s="60"/>
      <c r="E73" s="51"/>
      <c r="F73" s="52">
        <f>F71</f>
        <v>236.92</v>
      </c>
      <c r="G73" s="52">
        <f>G72</f>
        <v>124.2</v>
      </c>
      <c r="H73" s="52"/>
      <c r="I73" s="52">
        <f>I71+I72</f>
        <v>361.12</v>
      </c>
      <c r="J73" s="52">
        <f>J71+J72</f>
        <v>361.12</v>
      </c>
      <c r="K73" s="137"/>
      <c r="L73" s="57"/>
      <c r="M73" s="150"/>
    </row>
    <row r="74" spans="1:13" ht="45" customHeight="1">
      <c r="A74" s="256" t="s">
        <v>70</v>
      </c>
      <c r="B74" s="68" t="s">
        <v>72</v>
      </c>
      <c r="C74" s="140"/>
      <c r="D74" s="86"/>
      <c r="E74" s="141"/>
      <c r="F74" s="142"/>
      <c r="G74" s="142"/>
      <c r="H74" s="142"/>
      <c r="I74" s="142"/>
      <c r="J74" s="142"/>
      <c r="K74" s="276" t="s">
        <v>21</v>
      </c>
      <c r="L74" s="280"/>
      <c r="M74" s="191"/>
    </row>
    <row r="75" spans="1:13" ht="15.95" customHeight="1">
      <c r="A75" s="257"/>
      <c r="B75" s="148" t="s">
        <v>16</v>
      </c>
      <c r="C75" s="143" t="s">
        <v>73</v>
      </c>
      <c r="D75" s="133"/>
      <c r="E75" s="76"/>
      <c r="F75" s="144"/>
      <c r="G75" s="144"/>
      <c r="H75" s="144">
        <v>5000</v>
      </c>
      <c r="I75" s="144">
        <v>5000</v>
      </c>
      <c r="J75" s="144">
        <v>4965.18</v>
      </c>
      <c r="K75" s="283"/>
      <c r="L75" s="281"/>
      <c r="M75" s="192" t="s">
        <v>97</v>
      </c>
    </row>
    <row r="76" spans="1:13" ht="15.95" customHeight="1">
      <c r="A76" s="257"/>
      <c r="B76" s="148" t="s">
        <v>7</v>
      </c>
      <c r="C76" s="143" t="s">
        <v>73</v>
      </c>
      <c r="D76" s="133"/>
      <c r="E76" s="76"/>
      <c r="F76" s="144"/>
      <c r="G76" s="144"/>
      <c r="H76" s="144">
        <v>9800</v>
      </c>
      <c r="I76" s="144">
        <v>9800</v>
      </c>
      <c r="J76" s="144">
        <v>9582.66</v>
      </c>
      <c r="K76" s="283"/>
      <c r="L76" s="281"/>
      <c r="M76" s="192" t="s">
        <v>97</v>
      </c>
    </row>
    <row r="77" spans="1:13" ht="15.95" customHeight="1">
      <c r="A77" s="257"/>
      <c r="B77" s="148" t="s">
        <v>75</v>
      </c>
      <c r="C77" s="143"/>
      <c r="D77" s="133"/>
      <c r="E77" s="76"/>
      <c r="F77" s="144"/>
      <c r="G77" s="144"/>
      <c r="H77" s="144"/>
      <c r="I77" s="144"/>
      <c r="J77" s="144"/>
      <c r="K77" s="283"/>
      <c r="L77" s="281"/>
      <c r="M77" s="192"/>
    </row>
    <row r="78" spans="1:13" ht="15.95" customHeight="1">
      <c r="A78" s="257"/>
      <c r="B78" s="149" t="s">
        <v>8</v>
      </c>
      <c r="C78" s="140" t="s">
        <v>73</v>
      </c>
      <c r="D78" s="145"/>
      <c r="E78" s="146"/>
      <c r="F78" s="147"/>
      <c r="G78" s="147"/>
      <c r="H78" s="147">
        <v>0</v>
      </c>
      <c r="I78" s="245">
        <v>0</v>
      </c>
      <c r="J78" s="147">
        <v>0</v>
      </c>
      <c r="K78" s="277"/>
      <c r="L78" s="282"/>
      <c r="M78" s="193" t="s">
        <v>96</v>
      </c>
    </row>
    <row r="79" spans="1:13" ht="18" customHeight="1">
      <c r="A79" s="139"/>
      <c r="B79" s="30" t="s">
        <v>2</v>
      </c>
      <c r="C79" s="61" t="s">
        <v>74</v>
      </c>
      <c r="D79" s="125"/>
      <c r="E79" s="29"/>
      <c r="F79" s="28"/>
      <c r="G79" s="28"/>
      <c r="H79" s="28">
        <f>H75+H76+H78</f>
        <v>14800</v>
      </c>
      <c r="I79" s="28">
        <f>I75+I76+I78</f>
        <v>14800</v>
      </c>
      <c r="J79" s="28">
        <f>J75+J76+J78</f>
        <v>14547.84</v>
      </c>
      <c r="K79" s="58"/>
      <c r="L79" s="94"/>
      <c r="M79" s="27"/>
    </row>
    <row r="80" spans="1:13" ht="50.1" customHeight="1">
      <c r="A80" s="256" t="s">
        <v>24</v>
      </c>
      <c r="B80" s="68" t="s">
        <v>59</v>
      </c>
      <c r="C80" s="279" t="s">
        <v>64</v>
      </c>
      <c r="D80" s="125"/>
      <c r="E80" s="29"/>
      <c r="F80" s="28"/>
      <c r="G80" s="28"/>
      <c r="H80" s="28"/>
      <c r="I80" s="28"/>
      <c r="J80" s="28"/>
      <c r="K80" s="276" t="s">
        <v>21</v>
      </c>
      <c r="L80" s="295"/>
      <c r="M80" s="253" t="s">
        <v>96</v>
      </c>
    </row>
    <row r="81" spans="1:13" ht="15.95" customHeight="1">
      <c r="A81" s="257"/>
      <c r="B81" s="120" t="s">
        <v>22</v>
      </c>
      <c r="C81" s="272"/>
      <c r="D81" s="127"/>
      <c r="E81" s="124"/>
      <c r="F81" s="129"/>
      <c r="G81" s="123"/>
      <c r="H81" s="129">
        <v>0</v>
      </c>
      <c r="I81" s="246">
        <v>0</v>
      </c>
      <c r="J81" s="129">
        <v>0</v>
      </c>
      <c r="K81" s="277"/>
      <c r="L81" s="297"/>
      <c r="M81" s="255"/>
    </row>
    <row r="82" spans="1:13" ht="18" customHeight="1">
      <c r="A82" s="139"/>
      <c r="B82" s="122" t="s">
        <v>2</v>
      </c>
      <c r="C82" s="61" t="s">
        <v>65</v>
      </c>
      <c r="D82" s="60"/>
      <c r="E82" s="51"/>
      <c r="F82" s="52"/>
      <c r="G82" s="52"/>
      <c r="H82" s="52">
        <f>H81</f>
        <v>0</v>
      </c>
      <c r="I82" s="52">
        <f>I81</f>
        <v>0</v>
      </c>
      <c r="J82" s="52">
        <f>J81</f>
        <v>0</v>
      </c>
      <c r="K82" s="58"/>
      <c r="L82" s="57"/>
      <c r="M82" s="50"/>
    </row>
    <row r="83" spans="1:13" s="54" customFormat="1" ht="80.099999999999994" customHeight="1">
      <c r="A83" s="256" t="s">
        <v>23</v>
      </c>
      <c r="B83" s="49" t="s">
        <v>46</v>
      </c>
      <c r="C83" s="56"/>
      <c r="D83" s="47"/>
      <c r="E83" s="55"/>
      <c r="F83" s="45"/>
      <c r="G83" s="45"/>
      <c r="H83" s="46"/>
      <c r="I83" s="45"/>
      <c r="J83" s="45"/>
      <c r="K83" s="253" t="s">
        <v>21</v>
      </c>
      <c r="L83" s="253" t="s">
        <v>18</v>
      </c>
      <c r="M83" s="250" t="s">
        <v>97</v>
      </c>
    </row>
    <row r="84" spans="1:13" s="54" customFormat="1" ht="15.95" customHeight="1">
      <c r="A84" s="257"/>
      <c r="B84" s="38" t="s">
        <v>17</v>
      </c>
      <c r="C84" s="37"/>
      <c r="D84" s="36"/>
      <c r="E84" s="34">
        <v>11.87</v>
      </c>
      <c r="F84" s="34"/>
      <c r="G84" s="34"/>
      <c r="H84" s="33"/>
      <c r="I84" s="247">
        <v>11.87</v>
      </c>
      <c r="J84" s="33">
        <f>11.87</f>
        <v>11.87</v>
      </c>
      <c r="K84" s="254"/>
      <c r="L84" s="254"/>
      <c r="M84" s="251"/>
    </row>
    <row r="85" spans="1:13" s="54" customFormat="1" ht="15.95" customHeight="1">
      <c r="A85" s="257"/>
      <c r="B85" s="38" t="s">
        <v>16</v>
      </c>
      <c r="C85" s="37"/>
      <c r="D85" s="36"/>
      <c r="E85" s="34">
        <v>11.59</v>
      </c>
      <c r="F85" s="34"/>
      <c r="G85" s="34"/>
      <c r="H85" s="33"/>
      <c r="I85" s="247">
        <v>11.59</v>
      </c>
      <c r="J85" s="33">
        <f>11.59</f>
        <v>11.59</v>
      </c>
      <c r="K85" s="254"/>
      <c r="L85" s="254"/>
      <c r="M85" s="251"/>
    </row>
    <row r="86" spans="1:13" s="54" customFormat="1" ht="15.95" customHeight="1">
      <c r="A86" s="257"/>
      <c r="B86" s="38" t="s">
        <v>15</v>
      </c>
      <c r="C86" s="37"/>
      <c r="D86" s="36"/>
      <c r="E86" s="34">
        <v>11.74</v>
      </c>
      <c r="F86" s="34"/>
      <c r="G86" s="34"/>
      <c r="H86" s="33"/>
      <c r="I86" s="247">
        <v>11.74</v>
      </c>
      <c r="J86" s="33">
        <f>11.74</f>
        <v>11.74</v>
      </c>
      <c r="K86" s="254"/>
      <c r="L86" s="254"/>
      <c r="M86" s="251"/>
    </row>
    <row r="87" spans="1:13" s="54" customFormat="1" ht="15.95" customHeight="1">
      <c r="A87" s="257"/>
      <c r="B87" s="38" t="s">
        <v>14</v>
      </c>
      <c r="C87" s="37"/>
      <c r="D87" s="36"/>
      <c r="E87" s="34"/>
      <c r="F87" s="34">
        <v>61.41</v>
      </c>
      <c r="G87" s="34"/>
      <c r="H87" s="33"/>
      <c r="I87" s="247">
        <v>61.41</v>
      </c>
      <c r="J87" s="33">
        <f>29.9+19.57+11.94</f>
        <v>61.41</v>
      </c>
      <c r="K87" s="254"/>
      <c r="L87" s="254"/>
      <c r="M87" s="251"/>
    </row>
    <row r="88" spans="1:13" s="54" customFormat="1" ht="15.95" customHeight="1">
      <c r="A88" s="257"/>
      <c r="B88" s="38" t="s">
        <v>13</v>
      </c>
      <c r="C88" s="37"/>
      <c r="D88" s="36"/>
      <c r="E88" s="34"/>
      <c r="F88" s="34">
        <v>30.69</v>
      </c>
      <c r="G88" s="34"/>
      <c r="H88" s="33"/>
      <c r="I88" s="247">
        <v>30.69</v>
      </c>
      <c r="J88" s="33">
        <f>4.09+14.67+11.93</f>
        <v>30.689999999999998</v>
      </c>
      <c r="K88" s="254"/>
      <c r="L88" s="254"/>
      <c r="M88" s="251"/>
    </row>
    <row r="89" spans="1:13" s="54" customFormat="1" ht="15.95" customHeight="1">
      <c r="A89" s="257"/>
      <c r="B89" s="38" t="s">
        <v>12</v>
      </c>
      <c r="C89" s="37" t="s">
        <v>66</v>
      </c>
      <c r="D89" s="36"/>
      <c r="E89" s="34"/>
      <c r="F89" s="34">
        <v>65.790000000000006</v>
      </c>
      <c r="G89" s="34"/>
      <c r="H89" s="33"/>
      <c r="I89" s="247">
        <v>65.790000000000006</v>
      </c>
      <c r="J89" s="33">
        <f>29.9+24.1+11.79</f>
        <v>65.789999999999992</v>
      </c>
      <c r="K89" s="254"/>
      <c r="L89" s="254"/>
      <c r="M89" s="251"/>
    </row>
    <row r="90" spans="1:13" s="54" customFormat="1" ht="15.95" customHeight="1">
      <c r="A90" s="257"/>
      <c r="B90" s="38" t="s">
        <v>11</v>
      </c>
      <c r="C90" s="37"/>
      <c r="D90" s="36"/>
      <c r="E90" s="34"/>
      <c r="F90" s="34"/>
      <c r="G90" s="34">
        <v>31.51</v>
      </c>
      <c r="H90" s="33"/>
      <c r="I90" s="247">
        <v>31.51</v>
      </c>
      <c r="J90" s="33">
        <f>19.57+11.94</f>
        <v>31.509999999999998</v>
      </c>
      <c r="K90" s="254"/>
      <c r="L90" s="254"/>
      <c r="M90" s="251"/>
    </row>
    <row r="91" spans="1:13" s="54" customFormat="1" ht="15.95" customHeight="1">
      <c r="A91" s="257"/>
      <c r="B91" s="38" t="s">
        <v>10</v>
      </c>
      <c r="C91" s="37"/>
      <c r="D91" s="36"/>
      <c r="E91" s="34"/>
      <c r="F91" s="34"/>
      <c r="G91" s="34">
        <v>26.61</v>
      </c>
      <c r="H91" s="33"/>
      <c r="I91" s="247">
        <v>26.61</v>
      </c>
      <c r="J91" s="33">
        <f>14.66+11.95</f>
        <v>26.61</v>
      </c>
      <c r="K91" s="254"/>
      <c r="L91" s="254"/>
      <c r="M91" s="251"/>
    </row>
    <row r="92" spans="1:13" s="54" customFormat="1" ht="15.95" customHeight="1">
      <c r="A92" s="257"/>
      <c r="B92" s="38" t="s">
        <v>9</v>
      </c>
      <c r="C92" s="37"/>
      <c r="D92" s="36"/>
      <c r="E92" s="34"/>
      <c r="F92" s="34"/>
      <c r="G92" s="34">
        <v>36.39</v>
      </c>
      <c r="H92" s="33"/>
      <c r="I92" s="247">
        <v>36.39</v>
      </c>
      <c r="J92" s="33">
        <f>24.45+11.94</f>
        <v>36.39</v>
      </c>
      <c r="K92" s="254"/>
      <c r="L92" s="254"/>
      <c r="M92" s="251"/>
    </row>
    <row r="93" spans="1:13" s="54" customFormat="1" ht="15.95" customHeight="1">
      <c r="A93" s="257"/>
      <c r="B93" s="38" t="s">
        <v>8</v>
      </c>
      <c r="C93" s="37"/>
      <c r="D93" s="36">
        <v>0</v>
      </c>
      <c r="E93" s="34"/>
      <c r="F93" s="34"/>
      <c r="G93" s="34"/>
      <c r="H93" s="33"/>
      <c r="I93" s="247">
        <v>0</v>
      </c>
      <c r="J93" s="33">
        <v>0</v>
      </c>
      <c r="K93" s="254"/>
      <c r="L93" s="254"/>
      <c r="M93" s="251"/>
    </row>
    <row r="94" spans="1:13" s="54" customFormat="1" ht="15.95" customHeight="1">
      <c r="A94" s="257"/>
      <c r="B94" s="38" t="s">
        <v>7</v>
      </c>
      <c r="C94" s="37"/>
      <c r="D94" s="36">
        <v>29.32</v>
      </c>
      <c r="E94" s="34"/>
      <c r="F94" s="34"/>
      <c r="G94" s="34"/>
      <c r="H94" s="33"/>
      <c r="I94" s="247">
        <v>29.32</v>
      </c>
      <c r="J94" s="33">
        <f>29.32</f>
        <v>29.32</v>
      </c>
      <c r="K94" s="254"/>
      <c r="L94" s="254"/>
      <c r="M94" s="251"/>
    </row>
    <row r="95" spans="1:13" s="54" customFormat="1" ht="15.95" customHeight="1">
      <c r="A95" s="257"/>
      <c r="B95" s="38" t="s">
        <v>6</v>
      </c>
      <c r="C95" s="37"/>
      <c r="D95" s="36">
        <v>0</v>
      </c>
      <c r="E95" s="34"/>
      <c r="F95" s="34"/>
      <c r="G95" s="34"/>
      <c r="H95" s="33"/>
      <c r="I95" s="247">
        <v>0</v>
      </c>
      <c r="J95" s="33">
        <v>0</v>
      </c>
      <c r="K95" s="254"/>
      <c r="L95" s="254"/>
      <c r="M95" s="251"/>
    </row>
    <row r="96" spans="1:13" s="54" customFormat="1" ht="15.95" customHeight="1">
      <c r="A96" s="257"/>
      <c r="B96" s="38" t="s">
        <v>5</v>
      </c>
      <c r="C96" s="37"/>
      <c r="D96" s="36">
        <v>0</v>
      </c>
      <c r="E96" s="34"/>
      <c r="F96" s="34"/>
      <c r="G96" s="34"/>
      <c r="H96" s="33"/>
      <c r="I96" s="247">
        <v>0</v>
      </c>
      <c r="J96" s="33">
        <v>0</v>
      </c>
      <c r="K96" s="254"/>
      <c r="L96" s="254"/>
      <c r="M96" s="251"/>
    </row>
    <row r="97" spans="1:13" ht="15.95" customHeight="1">
      <c r="A97" s="257"/>
      <c r="B97" s="38" t="s">
        <v>4</v>
      </c>
      <c r="C97" s="37"/>
      <c r="D97" s="36"/>
      <c r="E97" s="34"/>
      <c r="F97" s="34">
        <v>13.73</v>
      </c>
      <c r="G97" s="34"/>
      <c r="H97" s="33"/>
      <c r="I97" s="247">
        <v>13.73</v>
      </c>
      <c r="J97" s="33">
        <f>13.73</f>
        <v>13.73</v>
      </c>
      <c r="K97" s="254"/>
      <c r="L97" s="254"/>
      <c r="M97" s="251"/>
    </row>
    <row r="98" spans="1:13" ht="15.95" customHeight="1">
      <c r="A98" s="257"/>
      <c r="B98" s="38" t="s">
        <v>3</v>
      </c>
      <c r="C98" s="37"/>
      <c r="D98" s="36"/>
      <c r="E98" s="34"/>
      <c r="F98" s="34"/>
      <c r="G98" s="34">
        <v>13.69</v>
      </c>
      <c r="H98" s="33"/>
      <c r="I98" s="247">
        <v>13.69</v>
      </c>
      <c r="J98" s="33">
        <f>13.69</f>
        <v>13.69</v>
      </c>
      <c r="K98" s="254"/>
      <c r="L98" s="254"/>
      <c r="M98" s="251"/>
    </row>
    <row r="99" spans="1:13" ht="15.95" customHeight="1">
      <c r="A99" s="257"/>
      <c r="B99" s="162" t="s">
        <v>35</v>
      </c>
      <c r="C99" s="163"/>
      <c r="D99" s="164"/>
      <c r="E99" s="164"/>
      <c r="F99" s="164"/>
      <c r="G99" s="164"/>
      <c r="H99" s="165">
        <v>0</v>
      </c>
      <c r="I99" s="248">
        <v>0</v>
      </c>
      <c r="J99" s="165">
        <v>0</v>
      </c>
      <c r="K99" s="255"/>
      <c r="L99" s="255"/>
      <c r="M99" s="252"/>
    </row>
    <row r="100" spans="1:13" ht="15.95" customHeight="1">
      <c r="A100" s="258"/>
      <c r="B100" s="135" t="s">
        <v>2</v>
      </c>
      <c r="C100" s="135" t="s">
        <v>66</v>
      </c>
      <c r="D100" s="159">
        <f>SUM(D84:D98)</f>
        <v>29.32</v>
      </c>
      <c r="E100" s="159">
        <f>SUM(E84:E98)</f>
        <v>35.200000000000003</v>
      </c>
      <c r="F100" s="159">
        <f>SUM(F84:F98)</f>
        <v>171.61999999999998</v>
      </c>
      <c r="G100" s="159">
        <f>SUM(G84:G98)</f>
        <v>108.2</v>
      </c>
      <c r="H100" s="160">
        <f>H99</f>
        <v>0</v>
      </c>
      <c r="I100" s="159">
        <f>SUM(I84:I99)</f>
        <v>344.34</v>
      </c>
      <c r="J100" s="159">
        <f>J84+J85+J86+J87+J88+J89+J90+J91+J92+J93+J94+J95+J96+J97+J98+J99</f>
        <v>344.34</v>
      </c>
      <c r="K100" s="155"/>
      <c r="L100" s="155"/>
      <c r="M100" s="161"/>
    </row>
    <row r="101" spans="1:13" ht="34.5" customHeight="1">
      <c r="A101" s="256" t="s">
        <v>68</v>
      </c>
      <c r="B101" s="49" t="s">
        <v>20</v>
      </c>
      <c r="C101" s="48"/>
      <c r="D101" s="47"/>
      <c r="E101" s="47"/>
      <c r="F101" s="45"/>
      <c r="G101" s="45"/>
      <c r="H101" s="46"/>
      <c r="I101" s="45"/>
      <c r="J101" s="45"/>
      <c r="K101" s="250" t="s">
        <v>19</v>
      </c>
      <c r="L101" s="253" t="s">
        <v>18</v>
      </c>
      <c r="M101" s="250" t="s">
        <v>97</v>
      </c>
    </row>
    <row r="102" spans="1:13" ht="15.95" customHeight="1">
      <c r="A102" s="257"/>
      <c r="B102" s="38" t="s">
        <v>17</v>
      </c>
      <c r="C102" s="37"/>
      <c r="D102" s="36"/>
      <c r="E102" s="41">
        <v>1500</v>
      </c>
      <c r="F102" s="34"/>
      <c r="G102" s="34"/>
      <c r="H102" s="33"/>
      <c r="I102" s="32">
        <f t="shared" ref="I102:I106" si="1">SUM(D102:G102)</f>
        <v>1500</v>
      </c>
      <c r="J102" s="181">
        <f>320.28+73.71+255.78+81.34+153.39+213.26+184.61+217.63</f>
        <v>1500</v>
      </c>
      <c r="K102" s="251"/>
      <c r="L102" s="254"/>
      <c r="M102" s="251"/>
    </row>
    <row r="103" spans="1:13" ht="15.95" customHeight="1">
      <c r="A103" s="257"/>
      <c r="B103" s="38" t="s">
        <v>16</v>
      </c>
      <c r="C103" s="37"/>
      <c r="D103" s="36"/>
      <c r="E103" s="41">
        <v>974.29</v>
      </c>
      <c r="F103" s="34"/>
      <c r="G103" s="34"/>
      <c r="H103" s="33"/>
      <c r="I103" s="243">
        <v>974.29</v>
      </c>
      <c r="J103" s="181">
        <f>345.01+126.68+31.04+430.11+41.45</f>
        <v>974.29000000000008</v>
      </c>
      <c r="K103" s="251"/>
      <c r="L103" s="254"/>
      <c r="M103" s="251"/>
    </row>
    <row r="104" spans="1:13" ht="15.95" customHeight="1">
      <c r="A104" s="257"/>
      <c r="B104" s="38" t="s">
        <v>15</v>
      </c>
      <c r="C104" s="37"/>
      <c r="D104" s="36"/>
      <c r="E104" s="41">
        <v>879.83</v>
      </c>
      <c r="F104" s="34"/>
      <c r="G104" s="34"/>
      <c r="H104" s="33"/>
      <c r="I104" s="243">
        <v>879.83</v>
      </c>
      <c r="J104" s="181">
        <f>433.63+10.33+46.2-10.33+400</f>
        <v>879.82999999999993</v>
      </c>
      <c r="K104" s="251"/>
      <c r="L104" s="254"/>
      <c r="M104" s="251"/>
    </row>
    <row r="105" spans="1:13" ht="15.95" customHeight="1">
      <c r="A105" s="257"/>
      <c r="B105" s="38" t="s">
        <v>14</v>
      </c>
      <c r="C105" s="37"/>
      <c r="D105" s="36"/>
      <c r="E105" s="36"/>
      <c r="F105" s="35">
        <v>1421.37</v>
      </c>
      <c r="G105" s="34"/>
      <c r="H105" s="33"/>
      <c r="I105" s="243">
        <v>1421.37</v>
      </c>
      <c r="J105" s="181">
        <f>235.52+74.15+328.37+594.73+188.6</f>
        <v>1421.37</v>
      </c>
      <c r="K105" s="251"/>
      <c r="L105" s="254"/>
      <c r="M105" s="251"/>
    </row>
    <row r="106" spans="1:13" ht="15.95" customHeight="1">
      <c r="A106" s="257"/>
      <c r="B106" s="38" t="s">
        <v>13</v>
      </c>
      <c r="C106" s="37"/>
      <c r="D106" s="36"/>
      <c r="E106" s="36"/>
      <c r="F106" s="35">
        <v>500</v>
      </c>
      <c r="G106" s="34"/>
      <c r="H106" s="33"/>
      <c r="I106" s="243">
        <f t="shared" si="1"/>
        <v>500</v>
      </c>
      <c r="J106" s="181">
        <f>114.52+385.48</f>
        <v>500</v>
      </c>
      <c r="K106" s="251"/>
      <c r="L106" s="254"/>
      <c r="M106" s="251"/>
    </row>
    <row r="107" spans="1:13" ht="15.95" customHeight="1">
      <c r="A107" s="257"/>
      <c r="B107" s="38" t="s">
        <v>12</v>
      </c>
      <c r="C107" s="37" t="s">
        <v>30</v>
      </c>
      <c r="D107" s="36"/>
      <c r="E107" s="36"/>
      <c r="F107" s="35">
        <v>1142.3</v>
      </c>
      <c r="G107" s="34"/>
      <c r="H107" s="33"/>
      <c r="I107" s="243">
        <v>1142.3</v>
      </c>
      <c r="J107" s="181">
        <f>102.74+283+180.66+343.53+232.37</f>
        <v>1142.3</v>
      </c>
      <c r="K107" s="251"/>
      <c r="L107" s="254"/>
      <c r="M107" s="251"/>
    </row>
    <row r="108" spans="1:13" ht="15.95" customHeight="1">
      <c r="A108" s="257"/>
      <c r="B108" s="38" t="s">
        <v>11</v>
      </c>
      <c r="C108" s="37"/>
      <c r="D108" s="44"/>
      <c r="E108" s="36"/>
      <c r="F108" s="34"/>
      <c r="G108" s="35">
        <v>3300</v>
      </c>
      <c r="H108" s="33"/>
      <c r="I108" s="243">
        <v>3300</v>
      </c>
      <c r="J108" s="243">
        <f>64.57+408.1+468.42+2317.27+19.36</f>
        <v>3277.7200000000003</v>
      </c>
      <c r="K108" s="251"/>
      <c r="L108" s="254"/>
      <c r="M108" s="251"/>
    </row>
    <row r="109" spans="1:13" ht="15.95" customHeight="1">
      <c r="A109" s="257"/>
      <c r="B109" s="38" t="s">
        <v>10</v>
      </c>
      <c r="C109" s="37"/>
      <c r="D109" s="36"/>
      <c r="E109" s="36"/>
      <c r="F109" s="34"/>
      <c r="G109" s="35">
        <v>1000</v>
      </c>
      <c r="H109" s="33"/>
      <c r="I109" s="243">
        <f t="shared" ref="I109:I116" si="2">SUM(D109:G109)</f>
        <v>1000</v>
      </c>
      <c r="J109" s="181">
        <f>28.13+206.98+53.56+266.88+326.95+36.9+72.33+8.27</f>
        <v>1000</v>
      </c>
      <c r="K109" s="251"/>
      <c r="L109" s="254"/>
      <c r="M109" s="251"/>
    </row>
    <row r="110" spans="1:13" ht="15.95" customHeight="1">
      <c r="A110" s="257"/>
      <c r="B110" s="38" t="s">
        <v>9</v>
      </c>
      <c r="C110" s="37"/>
      <c r="D110" s="36"/>
      <c r="E110" s="36"/>
      <c r="F110" s="34"/>
      <c r="G110" s="35">
        <v>1500</v>
      </c>
      <c r="H110" s="33"/>
      <c r="I110" s="243">
        <f t="shared" si="2"/>
        <v>1500</v>
      </c>
      <c r="J110" s="181">
        <f>15.95+897.45+12.54+345.37+208.52+20.17</f>
        <v>1500</v>
      </c>
      <c r="K110" s="251"/>
      <c r="L110" s="254"/>
      <c r="M110" s="251"/>
    </row>
    <row r="111" spans="1:13" ht="15.95" customHeight="1">
      <c r="A111" s="257"/>
      <c r="B111" s="38" t="s">
        <v>8</v>
      </c>
      <c r="C111" s="42"/>
      <c r="D111" s="41">
        <v>455.28</v>
      </c>
      <c r="E111" s="40"/>
      <c r="F111" s="39"/>
      <c r="G111" s="39"/>
      <c r="H111" s="43"/>
      <c r="I111" s="243">
        <v>455.28</v>
      </c>
      <c r="J111" s="181">
        <f>54.52+63.23+217.53+120</f>
        <v>455.28</v>
      </c>
      <c r="K111" s="251"/>
      <c r="L111" s="254"/>
      <c r="M111" s="251"/>
    </row>
    <row r="112" spans="1:13" ht="15.95" customHeight="1">
      <c r="A112" s="257"/>
      <c r="B112" s="38" t="s">
        <v>7</v>
      </c>
      <c r="C112" s="42"/>
      <c r="D112" s="41">
        <v>3660</v>
      </c>
      <c r="E112" s="40"/>
      <c r="F112" s="39"/>
      <c r="G112" s="39"/>
      <c r="H112" s="43"/>
      <c r="I112" s="243">
        <v>3660</v>
      </c>
      <c r="J112" s="181">
        <f>6.05+110.07+44.04+553.04+260.98+1070.51+1440+22.86</f>
        <v>3507.55</v>
      </c>
      <c r="K112" s="251"/>
      <c r="L112" s="254"/>
      <c r="M112" s="251"/>
    </row>
    <row r="113" spans="1:13" ht="16.5" customHeight="1">
      <c r="A113" s="257"/>
      <c r="B113" s="38" t="s">
        <v>6</v>
      </c>
      <c r="C113" s="42"/>
      <c r="D113" s="41">
        <v>1500</v>
      </c>
      <c r="E113" s="40"/>
      <c r="F113" s="39"/>
      <c r="G113" s="39"/>
      <c r="H113" s="39"/>
      <c r="I113" s="243">
        <f t="shared" si="2"/>
        <v>1500</v>
      </c>
      <c r="J113" s="181">
        <f>79.61+10.33+263.57+286.77+137.39</f>
        <v>777.67</v>
      </c>
      <c r="K113" s="251"/>
      <c r="L113" s="254"/>
      <c r="M113" s="251"/>
    </row>
    <row r="114" spans="1:13" ht="14.25" customHeight="1">
      <c r="A114" s="257"/>
      <c r="B114" s="38" t="s">
        <v>5</v>
      </c>
      <c r="C114" s="42"/>
      <c r="D114" s="41">
        <v>773.16</v>
      </c>
      <c r="E114" s="40"/>
      <c r="F114" s="39"/>
      <c r="G114" s="39"/>
      <c r="H114" s="39"/>
      <c r="I114" s="243">
        <v>773.16</v>
      </c>
      <c r="J114" s="181">
        <f>10.17+218.19+23.81+520.99</f>
        <v>773.16</v>
      </c>
      <c r="K114" s="251"/>
      <c r="L114" s="254"/>
      <c r="M114" s="251"/>
    </row>
    <row r="115" spans="1:13" ht="15.75" customHeight="1">
      <c r="A115" s="257"/>
      <c r="B115" s="38" t="s">
        <v>4</v>
      </c>
      <c r="C115" s="37"/>
      <c r="D115" s="36"/>
      <c r="E115" s="36"/>
      <c r="F115" s="35">
        <v>5100</v>
      </c>
      <c r="G115" s="34"/>
      <c r="H115" s="33"/>
      <c r="I115" s="243">
        <v>5100</v>
      </c>
      <c r="J115" s="181">
        <f>750.62+2406.33+407.5+935.55+516.16</f>
        <v>5016.16</v>
      </c>
      <c r="K115" s="251"/>
      <c r="L115" s="254"/>
      <c r="M115" s="251"/>
    </row>
    <row r="116" spans="1:13" ht="15.95" customHeight="1">
      <c r="A116" s="257"/>
      <c r="B116" s="38" t="s">
        <v>3</v>
      </c>
      <c r="C116" s="37"/>
      <c r="D116" s="36"/>
      <c r="E116" s="36"/>
      <c r="F116" s="34"/>
      <c r="G116" s="35">
        <v>3500</v>
      </c>
      <c r="H116" s="33"/>
      <c r="I116" s="243">
        <f t="shared" si="2"/>
        <v>3500</v>
      </c>
      <c r="J116" s="181">
        <f>709.17+2197.78+68.26+120.25+404.54</f>
        <v>3500.0000000000005</v>
      </c>
      <c r="K116" s="251"/>
      <c r="L116" s="254"/>
      <c r="M116" s="251"/>
    </row>
    <row r="117" spans="1:13" ht="15.95" customHeight="1">
      <c r="A117" s="257"/>
      <c r="B117" s="62" t="s">
        <v>35</v>
      </c>
      <c r="C117" s="31"/>
      <c r="D117" s="164"/>
      <c r="E117" s="164"/>
      <c r="F117" s="164"/>
      <c r="G117" s="126"/>
      <c r="H117" s="170">
        <v>1500</v>
      </c>
      <c r="I117" s="74">
        <v>1500</v>
      </c>
      <c r="J117" s="74">
        <f>1402.85+12.09</f>
        <v>1414.9399999999998</v>
      </c>
      <c r="K117" s="252"/>
      <c r="L117" s="255"/>
      <c r="M117" s="252"/>
    </row>
    <row r="118" spans="1:13" ht="18" customHeight="1">
      <c r="A118" s="258"/>
      <c r="B118" s="166" t="s">
        <v>2</v>
      </c>
      <c r="C118" s="167" t="s">
        <v>30</v>
      </c>
      <c r="D118" s="168">
        <f>SUM(D102:D116)</f>
        <v>6388.44</v>
      </c>
      <c r="E118" s="168">
        <f>SUM(E102:E116)</f>
        <v>3354.12</v>
      </c>
      <c r="F118" s="168">
        <f>SUM(F102:F116)</f>
        <v>8163.67</v>
      </c>
      <c r="G118" s="168">
        <f>G108+G109+G110+G116</f>
        <v>9300</v>
      </c>
      <c r="H118" s="168">
        <f>H117</f>
        <v>1500</v>
      </c>
      <c r="I118" s="168">
        <f>SUM(I102:I117)</f>
        <v>28706.23</v>
      </c>
      <c r="J118" s="168">
        <f>J102+J103+J104+J105+J106+J107+J108+J109+J110+J111+J112+J113+J114+J115+J116+J117</f>
        <v>27640.269999999997</v>
      </c>
      <c r="K118" s="156"/>
      <c r="L118" s="156"/>
      <c r="M118" s="169"/>
    </row>
    <row r="119" spans="1:13" ht="50.1" customHeight="1">
      <c r="A119" s="257" t="s">
        <v>110</v>
      </c>
      <c r="B119" s="119" t="s">
        <v>109</v>
      </c>
      <c r="C119" s="208"/>
      <c r="D119" s="207"/>
      <c r="E119" s="207"/>
      <c r="F119" s="142"/>
      <c r="G119" s="207"/>
      <c r="H119" s="207"/>
      <c r="I119" s="142"/>
      <c r="J119" s="142"/>
      <c r="K119" s="253" t="s">
        <v>21</v>
      </c>
      <c r="L119" s="206"/>
      <c r="M119" s="236" t="s">
        <v>97</v>
      </c>
    </row>
    <row r="120" spans="1:13" ht="15.95" customHeight="1">
      <c r="A120" s="257"/>
      <c r="B120" s="120" t="s">
        <v>4</v>
      </c>
      <c r="C120" s="176" t="s">
        <v>108</v>
      </c>
      <c r="D120" s="129"/>
      <c r="E120" s="129"/>
      <c r="F120" s="213">
        <v>7754.5</v>
      </c>
      <c r="G120" s="129"/>
      <c r="H120" s="129"/>
      <c r="I120" s="249">
        <v>7754.5</v>
      </c>
      <c r="J120" s="249">
        <v>7754.5</v>
      </c>
      <c r="K120" s="255"/>
      <c r="L120" s="205"/>
      <c r="M120" s="161"/>
    </row>
    <row r="121" spans="1:13" ht="18" customHeight="1">
      <c r="A121" s="196"/>
      <c r="B121" s="212" t="s">
        <v>2</v>
      </c>
      <c r="C121" s="211" t="s">
        <v>108</v>
      </c>
      <c r="D121" s="210"/>
      <c r="E121" s="210"/>
      <c r="F121" s="210">
        <f>F120</f>
        <v>7754.5</v>
      </c>
      <c r="G121" s="210"/>
      <c r="H121" s="210"/>
      <c r="I121" s="210">
        <f>I120</f>
        <v>7754.5</v>
      </c>
      <c r="J121" s="210">
        <f>J120</f>
        <v>7754.5</v>
      </c>
      <c r="K121" s="209"/>
      <c r="L121" s="209"/>
      <c r="M121" s="50"/>
    </row>
    <row r="122" spans="1:13" ht="69.95" customHeight="1">
      <c r="A122" s="256" t="s">
        <v>107</v>
      </c>
      <c r="B122" s="119" t="s">
        <v>106</v>
      </c>
      <c r="C122" s="208"/>
      <c r="D122" s="207"/>
      <c r="E122" s="207"/>
      <c r="F122" s="207"/>
      <c r="G122" s="207"/>
      <c r="H122" s="207"/>
      <c r="I122" s="207"/>
      <c r="J122" s="207"/>
      <c r="K122" s="253" t="s">
        <v>21</v>
      </c>
      <c r="L122" s="206"/>
      <c r="M122" s="191" t="s">
        <v>97</v>
      </c>
    </row>
    <row r="123" spans="1:13" s="12" customFormat="1" ht="30" customHeight="1">
      <c r="A123" s="257"/>
      <c r="B123" s="120" t="s">
        <v>105</v>
      </c>
      <c r="C123" s="176" t="s">
        <v>104</v>
      </c>
      <c r="D123" s="129"/>
      <c r="E123" s="129"/>
      <c r="F123" s="129"/>
      <c r="G123" s="129"/>
      <c r="H123" s="129">
        <v>11829.3</v>
      </c>
      <c r="I123" s="246">
        <v>11829.3</v>
      </c>
      <c r="J123" s="246">
        <v>11829.3</v>
      </c>
      <c r="K123" s="255"/>
      <c r="L123" s="205"/>
      <c r="M123" s="161"/>
    </row>
    <row r="124" spans="1:13" ht="18" customHeight="1">
      <c r="A124" s="216"/>
      <c r="B124" s="217" t="s">
        <v>2</v>
      </c>
      <c r="C124" s="218" t="s">
        <v>104</v>
      </c>
      <c r="D124" s="52"/>
      <c r="E124" s="52"/>
      <c r="F124" s="52"/>
      <c r="G124" s="52"/>
      <c r="H124" s="52">
        <f>H123</f>
        <v>11829.3</v>
      </c>
      <c r="I124" s="52">
        <f>I123</f>
        <v>11829.3</v>
      </c>
      <c r="J124" s="52">
        <f>J123</f>
        <v>11829.3</v>
      </c>
      <c r="K124" s="89"/>
      <c r="L124" s="89"/>
      <c r="M124" s="50"/>
    </row>
    <row r="125" spans="1:13" ht="78" customHeight="1">
      <c r="A125" s="219"/>
      <c r="B125" s="68" t="s">
        <v>114</v>
      </c>
      <c r="C125" s="227"/>
      <c r="D125" s="224"/>
      <c r="E125" s="224"/>
      <c r="F125" s="224"/>
      <c r="G125" s="224"/>
      <c r="H125" s="224"/>
      <c r="I125" s="224"/>
      <c r="J125" s="224"/>
      <c r="K125" s="222"/>
      <c r="L125" s="222"/>
      <c r="M125" s="221"/>
    </row>
    <row r="126" spans="1:13" ht="18" customHeight="1">
      <c r="A126" s="220"/>
      <c r="B126" s="105" t="s">
        <v>117</v>
      </c>
      <c r="C126" s="228"/>
      <c r="D126" s="225"/>
      <c r="E126" s="225"/>
      <c r="F126" s="231">
        <v>9000</v>
      </c>
      <c r="G126" s="225"/>
      <c r="H126" s="225"/>
      <c r="I126" s="237">
        <v>9000</v>
      </c>
      <c r="J126" s="231">
        <f>5353.81</f>
        <v>5353.81</v>
      </c>
      <c r="K126" s="202"/>
      <c r="L126" s="202"/>
      <c r="M126" s="202" t="s">
        <v>97</v>
      </c>
    </row>
    <row r="127" spans="1:13" ht="18" customHeight="1">
      <c r="A127" s="220" t="s">
        <v>115</v>
      </c>
      <c r="B127" s="105" t="s">
        <v>118</v>
      </c>
      <c r="C127" s="228"/>
      <c r="D127" s="225"/>
      <c r="E127" s="225"/>
      <c r="F127" s="231">
        <v>1100</v>
      </c>
      <c r="G127" s="225"/>
      <c r="H127" s="225"/>
      <c r="I127" s="237">
        <v>1100</v>
      </c>
      <c r="J127" s="231">
        <f>998.49+9.93</f>
        <v>1008.42</v>
      </c>
      <c r="K127" s="202" t="s">
        <v>21</v>
      </c>
      <c r="L127" s="202"/>
      <c r="M127" s="202" t="s">
        <v>97</v>
      </c>
    </row>
    <row r="128" spans="1:13" ht="18" customHeight="1">
      <c r="A128" s="220"/>
      <c r="B128" s="105" t="s">
        <v>116</v>
      </c>
      <c r="C128" s="228"/>
      <c r="D128" s="225"/>
      <c r="E128" s="225"/>
      <c r="F128" s="231">
        <v>1000</v>
      </c>
      <c r="G128" s="225"/>
      <c r="H128" s="225"/>
      <c r="I128" s="237">
        <v>1000</v>
      </c>
      <c r="J128" s="231">
        <f>998.85</f>
        <v>998.85</v>
      </c>
      <c r="K128" s="202"/>
      <c r="L128" s="202"/>
      <c r="M128" s="202" t="s">
        <v>97</v>
      </c>
    </row>
    <row r="129" spans="1:18" ht="18" customHeight="1">
      <c r="A129" s="220"/>
      <c r="B129" s="105" t="s">
        <v>119</v>
      </c>
      <c r="C129" s="228"/>
      <c r="D129" s="225"/>
      <c r="E129" s="225"/>
      <c r="F129" s="225"/>
      <c r="G129" s="231">
        <v>4000</v>
      </c>
      <c r="H129" s="225"/>
      <c r="I129" s="237">
        <v>4000</v>
      </c>
      <c r="J129" s="231">
        <f>2626.23</f>
        <v>2626.23</v>
      </c>
      <c r="K129" s="202"/>
      <c r="L129" s="202"/>
      <c r="M129" s="202" t="s">
        <v>97</v>
      </c>
    </row>
    <row r="130" spans="1:18" ht="18" customHeight="1">
      <c r="A130" s="220"/>
      <c r="B130" s="105" t="s">
        <v>120</v>
      </c>
      <c r="C130" s="228"/>
      <c r="D130" s="231">
        <v>6500</v>
      </c>
      <c r="E130" s="225"/>
      <c r="F130" s="225"/>
      <c r="G130" s="225"/>
      <c r="H130" s="225"/>
      <c r="I130" s="237">
        <v>6500</v>
      </c>
      <c r="J130" s="231">
        <f>4798</f>
        <v>4798</v>
      </c>
      <c r="K130" s="202"/>
      <c r="L130" s="202"/>
      <c r="M130" s="202" t="s">
        <v>97</v>
      </c>
    </row>
    <row r="131" spans="1:18" ht="30.75" customHeight="1">
      <c r="A131" s="220"/>
      <c r="B131" s="230" t="s">
        <v>121</v>
      </c>
      <c r="C131" s="229"/>
      <c r="D131" s="226"/>
      <c r="E131" s="226"/>
      <c r="F131" s="232">
        <v>7000</v>
      </c>
      <c r="G131" s="226"/>
      <c r="H131" s="226"/>
      <c r="I131" s="238">
        <v>7000</v>
      </c>
      <c r="J131" s="226"/>
      <c r="K131" s="223"/>
      <c r="L131" s="223"/>
      <c r="M131" s="309" t="s">
        <v>96</v>
      </c>
    </row>
    <row r="132" spans="1:18" ht="18" customHeight="1" thickBot="1">
      <c r="A132" s="233"/>
      <c r="B132" s="30" t="s">
        <v>2</v>
      </c>
      <c r="C132" s="227"/>
      <c r="D132" s="224">
        <f>D130</f>
        <v>6500</v>
      </c>
      <c r="E132" s="28"/>
      <c r="F132" s="224">
        <f>F126+F127+F128+F131</f>
        <v>18100</v>
      </c>
      <c r="G132" s="224">
        <f>G129</f>
        <v>4000</v>
      </c>
      <c r="H132" s="224"/>
      <c r="I132" s="224">
        <f>I126+I127+I128+I129+I130+I131</f>
        <v>28600</v>
      </c>
      <c r="J132" s="224">
        <f>J126+J127+J128+J129+J130+J131</f>
        <v>14785.310000000001</v>
      </c>
      <c r="K132" s="222"/>
      <c r="L132" s="222"/>
      <c r="M132" s="221"/>
    </row>
    <row r="133" spans="1:18" ht="24.95" customHeight="1" thickBot="1">
      <c r="A133" s="26"/>
      <c r="B133" s="25" t="s">
        <v>1</v>
      </c>
      <c r="C133" s="24"/>
      <c r="D133" s="23">
        <f>D24+D38+D46+D62+D69+D73+D79+D82+D100+D118+D132</f>
        <v>224969.55</v>
      </c>
      <c r="E133" s="22">
        <f t="shared" ref="E133" si="3">E24+E38+E46+E62+E69+E73+E79+E82+E100+E118</f>
        <v>108641.45</v>
      </c>
      <c r="F133" s="22">
        <f>F24+F38+F46+F62+F69+F73+F79+F82+F100+F118+F121+F132</f>
        <v>191598.40000000002</v>
      </c>
      <c r="G133" s="23">
        <f>G24+G38+G46+G62+G69+G73+G79+G82+G100+G118+G132</f>
        <v>126686.10999999999</v>
      </c>
      <c r="H133" s="23">
        <f>H24+H38+H46+H62+H69+H73+H79+H82+H100+H118+H124</f>
        <v>35979.949999999997</v>
      </c>
      <c r="I133" s="22">
        <f>I24+I38+I46+I62+I69+I73+I79+I82+I100+I118+I121+I124+I132</f>
        <v>687875.46</v>
      </c>
      <c r="J133" s="22">
        <f>J24+J38+J46+J62+J69+J73+J79+J82+J100+J118+J121+J124+J132</f>
        <v>554589.64000000013</v>
      </c>
      <c r="K133" s="21"/>
      <c r="L133" s="20"/>
      <c r="M133" s="20"/>
      <c r="R133" s="1" t="s">
        <v>0</v>
      </c>
    </row>
    <row r="134" spans="1:18" ht="15.75">
      <c r="A134" s="19"/>
      <c r="B134" s="18"/>
      <c r="C134" s="17"/>
      <c r="D134" s="16"/>
      <c r="E134" s="16"/>
      <c r="F134" s="16"/>
      <c r="G134" s="16"/>
      <c r="H134" s="16"/>
      <c r="I134" s="15"/>
      <c r="J134" s="15"/>
      <c r="K134" s="14"/>
      <c r="L134" s="14"/>
      <c r="M134" s="13"/>
    </row>
    <row r="135" spans="1:18">
      <c r="A135" s="9"/>
      <c r="B135" s="11"/>
      <c r="C135" s="5"/>
      <c r="D135" s="10"/>
      <c r="E135" s="10"/>
      <c r="F135" s="10"/>
      <c r="G135" s="10"/>
      <c r="H135" s="10"/>
      <c r="I135" s="10"/>
      <c r="J135" s="10"/>
      <c r="K135" s="5"/>
      <c r="L135" s="5"/>
    </row>
    <row r="136" spans="1:18">
      <c r="A136" s="9"/>
      <c r="B136" s="11"/>
      <c r="C136" s="5"/>
      <c r="D136" s="10"/>
      <c r="E136" s="10"/>
      <c r="F136" s="10"/>
      <c r="G136" s="10"/>
      <c r="H136" s="10"/>
      <c r="I136" s="10"/>
      <c r="J136" s="10"/>
      <c r="K136" s="5"/>
      <c r="L136" s="5"/>
    </row>
    <row r="137" spans="1:18">
      <c r="A137" s="9"/>
      <c r="B137" s="11"/>
      <c r="C137" s="5"/>
      <c r="D137" s="10"/>
      <c r="E137" s="10"/>
      <c r="F137" s="10"/>
      <c r="G137" s="10"/>
      <c r="H137" s="10"/>
      <c r="I137" s="10"/>
      <c r="J137" s="10"/>
      <c r="K137" s="5"/>
      <c r="L137" s="5"/>
    </row>
    <row r="138" spans="1:18">
      <c r="A138" s="9"/>
      <c r="B138" s="11"/>
      <c r="C138" s="5"/>
      <c r="D138" s="10"/>
      <c r="E138" s="10"/>
      <c r="F138" s="10"/>
      <c r="G138" s="10"/>
      <c r="H138" s="10"/>
      <c r="I138" s="10"/>
      <c r="J138" s="10"/>
      <c r="K138" s="5"/>
      <c r="L138" s="5"/>
    </row>
    <row r="139" spans="1:18">
      <c r="A139" s="9"/>
      <c r="B139" s="11"/>
      <c r="C139" s="5"/>
      <c r="D139" s="10"/>
      <c r="E139" s="10"/>
      <c r="F139" s="10"/>
      <c r="G139" s="10"/>
      <c r="H139" s="10"/>
      <c r="I139" s="10"/>
      <c r="J139" s="10"/>
      <c r="K139" s="5"/>
      <c r="L139" s="5"/>
    </row>
    <row r="140" spans="1:18">
      <c r="A140" s="9"/>
      <c r="B140" s="11"/>
      <c r="C140" s="5"/>
      <c r="D140" s="10"/>
      <c r="E140" s="10"/>
      <c r="F140" s="10"/>
      <c r="G140" s="10"/>
      <c r="H140" s="10"/>
      <c r="I140" s="10"/>
      <c r="J140" s="10"/>
      <c r="K140" s="5"/>
      <c r="L140" s="5"/>
    </row>
    <row r="141" spans="1:18">
      <c r="A141" s="9"/>
      <c r="D141" s="1"/>
      <c r="E141" s="1"/>
      <c r="F141" s="1"/>
      <c r="G141" s="1"/>
      <c r="H141" s="1"/>
      <c r="I141" s="1"/>
      <c r="J141" s="1"/>
    </row>
    <row r="165" spans="1:17" ht="15.75">
      <c r="N165" s="6"/>
      <c r="O165" s="6"/>
      <c r="P165" s="4"/>
      <c r="Q165" s="4"/>
    </row>
    <row r="166" spans="1:17">
      <c r="N166" s="5"/>
      <c r="O166" s="5"/>
      <c r="P166" s="4"/>
      <c r="Q166" s="4"/>
    </row>
    <row r="167" spans="1:17">
      <c r="N167" s="5"/>
      <c r="O167" s="5"/>
      <c r="P167" s="4"/>
      <c r="Q167" s="4"/>
    </row>
    <row r="168" spans="1:17" ht="15.75">
      <c r="A168" s="1"/>
      <c r="D168" s="1"/>
      <c r="E168" s="1"/>
      <c r="F168" s="1"/>
      <c r="G168" s="1"/>
      <c r="H168" s="1"/>
      <c r="I168" s="1"/>
      <c r="J168" s="1"/>
      <c r="M168" s="8"/>
      <c r="N168" s="275"/>
      <c r="O168" s="275"/>
      <c r="P168" s="275"/>
      <c r="Q168" s="275"/>
    </row>
    <row r="169" spans="1:17" ht="15.75">
      <c r="A169" s="1"/>
      <c r="D169" s="1"/>
      <c r="E169" s="1"/>
      <c r="F169" s="1"/>
      <c r="G169" s="1"/>
      <c r="H169" s="1"/>
      <c r="I169" s="1"/>
      <c r="J169" s="1"/>
      <c r="M169" s="7"/>
      <c r="N169" s="5"/>
      <c r="O169" s="5"/>
      <c r="P169" s="4"/>
      <c r="Q169" s="4"/>
    </row>
    <row r="170" spans="1:17" ht="15.75">
      <c r="A170" s="1"/>
      <c r="D170" s="1"/>
      <c r="E170" s="1"/>
      <c r="F170" s="1"/>
      <c r="G170" s="1"/>
      <c r="H170" s="1"/>
      <c r="I170" s="1"/>
      <c r="J170" s="1"/>
      <c r="M170" s="7"/>
      <c r="N170" s="5"/>
      <c r="O170" s="5"/>
      <c r="P170" s="4"/>
      <c r="Q170" s="4"/>
    </row>
    <row r="171" spans="1:17">
      <c r="A171" s="1"/>
      <c r="D171" s="1"/>
      <c r="E171" s="1"/>
      <c r="F171" s="1"/>
      <c r="G171" s="1"/>
      <c r="H171" s="1"/>
      <c r="I171" s="1"/>
      <c r="J171" s="1"/>
      <c r="M171" s="5"/>
      <c r="N171" s="5"/>
      <c r="O171" s="5"/>
      <c r="P171" s="4"/>
      <c r="Q171" s="4"/>
    </row>
    <row r="172" spans="1:17">
      <c r="A172" s="1"/>
      <c r="D172" s="1"/>
      <c r="E172" s="1"/>
      <c r="F172" s="1"/>
      <c r="G172" s="1"/>
      <c r="H172" s="1"/>
      <c r="I172" s="1"/>
      <c r="J172" s="1"/>
      <c r="M172" s="5"/>
      <c r="N172" s="5" t="s">
        <v>0</v>
      </c>
      <c r="O172" s="5"/>
      <c r="P172" s="4"/>
      <c r="Q172" s="4"/>
    </row>
    <row r="173" spans="1:17">
      <c r="A173" s="1"/>
      <c r="D173" s="1"/>
      <c r="E173" s="1"/>
      <c r="F173" s="1"/>
      <c r="G173" s="1"/>
      <c r="H173" s="1"/>
      <c r="I173" s="1"/>
      <c r="J173" s="1"/>
      <c r="M173" s="5"/>
    </row>
    <row r="174" spans="1:17">
      <c r="A174" s="1"/>
      <c r="D174" s="1"/>
      <c r="E174" s="1"/>
      <c r="F174" s="1"/>
      <c r="G174" s="1"/>
      <c r="H174" s="1"/>
      <c r="I174" s="1"/>
      <c r="J174" s="1"/>
    </row>
    <row r="175" spans="1:17">
      <c r="A175" s="1"/>
      <c r="D175" s="1"/>
      <c r="E175" s="1"/>
      <c r="F175" s="1"/>
      <c r="G175" s="1"/>
      <c r="H175" s="1"/>
      <c r="I175" s="1"/>
      <c r="J175" s="1"/>
    </row>
    <row r="176" spans="1:17">
      <c r="A176" s="1"/>
      <c r="D176" s="1"/>
      <c r="E176" s="1"/>
      <c r="F176" s="1"/>
      <c r="G176" s="1"/>
      <c r="H176" s="1"/>
      <c r="I176" s="1"/>
      <c r="J176" s="1"/>
    </row>
    <row r="177" spans="1:10">
      <c r="A177" s="1"/>
      <c r="D177" s="1"/>
      <c r="E177" s="1"/>
      <c r="F177" s="1"/>
      <c r="G177" s="1"/>
      <c r="H177" s="1"/>
      <c r="I177" s="1"/>
      <c r="J177" s="1"/>
    </row>
    <row r="178" spans="1:10">
      <c r="A178" s="1"/>
      <c r="D178" s="1"/>
      <c r="E178" s="1"/>
      <c r="F178" s="1"/>
      <c r="G178" s="1"/>
      <c r="H178" s="1"/>
      <c r="I178" s="1"/>
      <c r="J178" s="1"/>
    </row>
  </sheetData>
  <mergeCells count="65">
    <mergeCell ref="A39:A46"/>
    <mergeCell ref="M83:M99"/>
    <mergeCell ref="M101:M117"/>
    <mergeCell ref="L80:L81"/>
    <mergeCell ref="M7:M22"/>
    <mergeCell ref="M80:M81"/>
    <mergeCell ref="M47:M61"/>
    <mergeCell ref="M70:M72"/>
    <mergeCell ref="L47:L61"/>
    <mergeCell ref="L83:L99"/>
    <mergeCell ref="A7:A24"/>
    <mergeCell ref="K7:K22"/>
    <mergeCell ref="L7:L22"/>
    <mergeCell ref="A25:A38"/>
    <mergeCell ref="K25:K37"/>
    <mergeCell ref="H51:H57"/>
    <mergeCell ref="H48:H50"/>
    <mergeCell ref="J58:J59"/>
    <mergeCell ref="K39:K44"/>
    <mergeCell ref="L25:L37"/>
    <mergeCell ref="L39:L44"/>
    <mergeCell ref="A1:I1"/>
    <mergeCell ref="L1:M1"/>
    <mergeCell ref="A2:M2"/>
    <mergeCell ref="A3:C3"/>
    <mergeCell ref="A4:A5"/>
    <mergeCell ref="B4:B5"/>
    <mergeCell ref="C4:C5"/>
    <mergeCell ref="D4:H4"/>
    <mergeCell ref="I4:I5"/>
    <mergeCell ref="K4:L4"/>
    <mergeCell ref="M4:M5"/>
    <mergeCell ref="J4:J5"/>
    <mergeCell ref="N168:Q168"/>
    <mergeCell ref="A101:A118"/>
    <mergeCell ref="K80:K81"/>
    <mergeCell ref="A70:A73"/>
    <mergeCell ref="A83:A100"/>
    <mergeCell ref="A80:A81"/>
    <mergeCell ref="C80:C81"/>
    <mergeCell ref="L70:L72"/>
    <mergeCell ref="L74:L78"/>
    <mergeCell ref="A74:A78"/>
    <mergeCell ref="K70:K72"/>
    <mergeCell ref="K74:K78"/>
    <mergeCell ref="A119:A120"/>
    <mergeCell ref="A122:A123"/>
    <mergeCell ref="K119:K120"/>
    <mergeCell ref="K122:K123"/>
    <mergeCell ref="K101:K117"/>
    <mergeCell ref="K83:K99"/>
    <mergeCell ref="L101:L117"/>
    <mergeCell ref="A63:A69"/>
    <mergeCell ref="A47:A62"/>
    <mergeCell ref="L63:L68"/>
    <mergeCell ref="J60:J61"/>
    <mergeCell ref="I60:I61"/>
    <mergeCell ref="C51:C57"/>
    <mergeCell ref="K47:K61"/>
    <mergeCell ref="C58:C59"/>
    <mergeCell ref="C60:C61"/>
    <mergeCell ref="C48:C50"/>
    <mergeCell ref="I58:I59"/>
    <mergeCell ref="H60:H61"/>
    <mergeCell ref="H58:H59"/>
  </mergeCells>
  <printOptions horizontalCentered="1" verticalCentered="1"/>
  <pageMargins left="0.7" right="0.7" top="0.75" bottom="0.75" header="0.3" footer="0.3"/>
  <pageSetup paperSize="9" scale="50" firstPageNumber="0" fitToHeight="0" orientation="landscape" r:id="rId1"/>
  <headerFooter alignWithMargins="0"/>
  <rowBreaks count="3" manualBreakCount="3">
    <brk id="38" max="14" man="1"/>
    <brk id="69" max="14" man="1"/>
    <brk id="100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REALIZACJA XII 2016</vt:lpstr>
      <vt:lpstr>'REALIZACJA XII 2016'!Excel_BuiltIn_Print_Titles_1</vt:lpstr>
      <vt:lpstr>'REALIZACJA XII 2016'!Obszar_wydruku</vt:lpstr>
      <vt:lpstr>'REALIZACJA XII 2016'!Tytuły_wydruku</vt:lpstr>
    </vt:vector>
  </TitlesOfParts>
  <Company>SM "Związkowiec"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Bochenek</dc:creator>
  <cp:lastModifiedBy>Barbara Bochenek</cp:lastModifiedBy>
  <cp:lastPrinted>2016-11-15T09:51:14Z</cp:lastPrinted>
  <dcterms:created xsi:type="dcterms:W3CDTF">2014-06-16T07:46:22Z</dcterms:created>
  <dcterms:modified xsi:type="dcterms:W3CDTF">2017-02-16T10:11:21Z</dcterms:modified>
</cp:coreProperties>
</file>